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65516" windowWidth="24840" windowHeight="15960" activeTab="0"/>
  </bookViews>
  <sheets>
    <sheet name="Cover Page"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Instructions" sheetId="12" r:id="rId12"/>
  </sheets>
  <externalReferences>
    <externalReference r:id="rId15"/>
    <externalReference r:id="rId16"/>
    <externalReference r:id="rId17"/>
    <externalReference r:id="rId18"/>
  </externalReferences>
  <definedNames>
    <definedName name="_Order1" hidden="1">255</definedName>
    <definedName name="ActualTotalFederalAndStateProjects">'Page 9'!$J$39</definedName>
    <definedName name="ActualTotalInstImpExp">'Page 5'!$I$11</definedName>
    <definedName name="AdditionalTeacherSalaryLine1">'Instructions'!$C$33</definedName>
    <definedName name="AdditionalTeacherSalaryLine2">'Instructions'!$C$34</definedName>
    <definedName name="AdditionalTeacherSalaryLine3">'Instructions'!$C$35</definedName>
    <definedName name="AddlInstrImprProjEndBal">'Page 5'!$F$19</definedName>
    <definedName name="AllDisabilityClassifications">'Instructions'!$C$38</definedName>
    <definedName name="ARRADetail">'Instructions'!#REF!</definedName>
    <definedName name="AuditServices">'Instructions'!$C$14</definedName>
    <definedName name="CapitalAcquisitions">'Instructions'!$C$15</definedName>
    <definedName name="CapitalAcquisitionsLine5">'Instructions'!$C$16</definedName>
    <definedName name="CashandInvestments">'Instructions'!$C$48</definedName>
    <definedName name="CashBal">'Page 7'!$F$6</definedName>
    <definedName name="ChartofAccounts">'Instructions'!#REF!</definedName>
    <definedName name="CIP1072EndBal">'Page 6'!$O$48</definedName>
    <definedName name="County">'[4]Cover'!$J$1</definedName>
    <definedName name="CoverDistrictName">'[4]Cover'!$D$1</definedName>
    <definedName name="CSP1011Act">'Page 3'!$I$23</definedName>
    <definedName name="CSP1011Budg">'Page 3'!$H$23</definedName>
    <definedName name="CSP1011EndBal">'Page 4'!$F$38</definedName>
    <definedName name="CSP1011O6100">'Page 3'!$F$23</definedName>
    <definedName name="CSP1011O6200">'Page 3'!$G$23</definedName>
    <definedName name="CSP1012Act">'Page 3'!$I$40</definedName>
    <definedName name="CSP1012Budg">'Page 3'!$H$40</definedName>
    <definedName name="CSP1012EndBal">'Page 4'!$G$38</definedName>
    <definedName name="CSP1012O6100">'Page 3'!$F$40</definedName>
    <definedName name="CSP1012O6200">'Page 3'!$G$40</definedName>
    <definedName name="CSP1013Act">'Page 4'!$K$25</definedName>
    <definedName name="CSP1013Budg">'Page 4'!$J$25</definedName>
    <definedName name="CSP1013EndBal">'Page 4'!$H$38</definedName>
    <definedName name="CSP1013O6100">'Page 4'!$F$25</definedName>
    <definedName name="CSP1013O6200">'Page 4'!$G$25</definedName>
    <definedName name="CSP1013O630064006500">'Page 4'!$H$25</definedName>
    <definedName name="CSP1013O6600">'Page 4'!$I$25</definedName>
    <definedName name="CurrAssets">'Page 7'!#REF!</definedName>
    <definedName name="CurrentAssetsCurrentLiabilities">'Instructions'!#REF!</definedName>
    <definedName name="CurrentExpensesByCategory">'Instructions'!$C$19</definedName>
    <definedName name="CurrentExpensesByCategoryLine1">'Instructions'!$C$20</definedName>
    <definedName name="CurrentExpensesByCategoryLine2">'Instructions'!$C$21</definedName>
    <definedName name="CurrentExpensesByCategoryLine3">'Instructions'!$C$22</definedName>
    <definedName name="CurrentExpensesByCategoryLine4">'Instructions'!$C$23</definedName>
    <definedName name="CurrentExpensesByCategoryLine5">'Instructions'!$C$24</definedName>
    <definedName name="CurrentExpensesbyCategoryLines7and8">'Instructions'!$C$25</definedName>
    <definedName name="CurrLiabilities">'Page 7'!#REF!</definedName>
    <definedName name="DebtService">'Instructions'!$C$47</definedName>
    <definedName name="ExpensesPage2">'Instructions'!$C$12</definedName>
    <definedName name="FederalAndStateProjectsPage2">'Instructions'!$C$13</definedName>
    <definedName name="FederalAndStateProjectsPage9">'Instructions'!$C$40</definedName>
    <definedName name="FederalAndStateProjectsPage9Line30">'Instructions'!$C$42</definedName>
    <definedName name="Food_Service_1600">'Instructions'!$C$9</definedName>
    <definedName name="FP11001130EndBal">'Page 9'!$L$6</definedName>
    <definedName name="FP11401150EndBal">'Page 9'!$L$7</definedName>
    <definedName name="FP1160EndBal">'Page 9'!$L$8</definedName>
    <definedName name="FP11701180EndBal">'Page 9'!$L$9</definedName>
    <definedName name="FP1190EndBal">'Page 9'!$L$10</definedName>
    <definedName name="FP1200EndBal">'Page 9'!$L$11</definedName>
    <definedName name="FP1210EndBal">'Page 9'!$L$12</definedName>
    <definedName name="FP1220EndBal">'Page 9'!$L$13</definedName>
    <definedName name="FP1230EndBal">'Page 9'!$L$14</definedName>
    <definedName name="FP1240EndBal">'Page 9'!$L$15</definedName>
    <definedName name="FP1250EndBal">'Page 9'!$L$16</definedName>
    <definedName name="FP1260EndBal">'Page 9'!$L$17</definedName>
    <definedName name="FP1280EndBal">'Page 9'!$L$18</definedName>
    <definedName name="FP1290EndBal">'Page 9'!$L$19</definedName>
    <definedName name="FP1300EndBal">'Page 9'!$L$20</definedName>
    <definedName name="FP13101399EndBal">'Page 9'!$L$22</definedName>
    <definedName name="FullTimeEquivalentTeachers">'Instructions'!$C$26</definedName>
    <definedName name="GeneralInstructions">'Instructions'!$C$2</definedName>
    <definedName name="GeneralPage1">'Instructions'!$C$8</definedName>
    <definedName name="GeneralPage10">'Instructions'!$C$43</definedName>
    <definedName name="ImpactAidandOtherFederalProjects">'Instructions'!$C$41</definedName>
    <definedName name="InvestmentInCapitalAssets">'Instructions'!$C$17</definedName>
    <definedName name="InvestmentInCapitalAssetsLine5">'Instructions'!$C$18</definedName>
    <definedName name="LongandShortTermDebt">'Instructions'!$C$49</definedName>
    <definedName name="NameCountyCTDSNumber">'Instructions'!$C$7</definedName>
    <definedName name="_xlnm.Print_Area" localSheetId="0">'Cover Page'!$A$1:$R$35</definedName>
    <definedName name="_xlnm.Print_Area" localSheetId="11">'Instructions'!$A$1:$C$51</definedName>
    <definedName name="_xlnm.Print_Area" localSheetId="1">'Page 1'!$A$1:$N$35</definedName>
    <definedName name="_xlnm.Print_Area" localSheetId="10">'Page 10'!$A$1:$L$50</definedName>
    <definedName name="_xlnm.Print_Area" localSheetId="2">'Page 2'!$A$1:$M$47</definedName>
    <definedName name="_xlnm.Print_Area" localSheetId="3">'Page 3'!$A$1:$J$43</definedName>
    <definedName name="_xlnm.Print_Area" localSheetId="4">'Page 4'!$A$1:$L$38</definedName>
    <definedName name="_xlnm.Print_Area" localSheetId="5">'Page 5'!$A$1:$M$28</definedName>
    <definedName name="_xlnm.Print_Area" localSheetId="7">'Page 7'!$A$1:$U$37</definedName>
    <definedName name="_xlnm.Print_Area" localSheetId="8">'Page 8'!$A$1:$W$27</definedName>
    <definedName name="_xlnm.Print_Area" localSheetId="9">'Page 9'!$A$1:$M$39</definedName>
    <definedName name="Program_200_Budget_and_Program_200_Actual_column_totals_should_equal_line_27_on_page_2.">'Instructions'!$C$39</definedName>
    <definedName name="Program200Total">'Instructions'!#REF!</definedName>
    <definedName name="Programs610620630">'Instructions'!$C$44</definedName>
    <definedName name="PropertyDisbursements">'Instructions'!$C$45</definedName>
    <definedName name="PropertyDisbursementsByType">'Instructions'!$C$46</definedName>
    <definedName name="Restricted3200">'Instructions'!$C$10</definedName>
    <definedName name="RevenueFromSponsoringSchoolDistrict">'Instructions'!#REF!</definedName>
    <definedName name="SEIP1071EndBal">'Page 6'!$O$26</definedName>
    <definedName name="SP1000ClassSiteProj">'Page 2'!$J$42</definedName>
    <definedName name="SP1000CompInstrProj">'Page 2'!$J$45</definedName>
    <definedName name="SP1000FedStProj">'Page 2'!$J$46</definedName>
    <definedName name="SP1000InstrImpProj">'Page 2'!$J$43</definedName>
    <definedName name="SP1000P100F1000">'Page 2'!$J$6</definedName>
    <definedName name="SP1000P100F2100">'Page 2'!$J$8</definedName>
    <definedName name="SP1000P100F2200">'Page 2'!$J$10</definedName>
    <definedName name="SP1000P100F2300">'Page 2'!$J$11</definedName>
    <definedName name="SP1000P100F2400">'Page 2'!$J$12</definedName>
    <definedName name="SP1000P100F2500">'Page 2'!$J$13</definedName>
    <definedName name="SP1000P100F2600">'Page 2'!$J$14</definedName>
    <definedName name="SP1000P100F2900">'Page 2'!$J$15</definedName>
    <definedName name="SP1000P100F3000">'Page 2'!$J$16</definedName>
    <definedName name="SP1000P100F4000">'Page 2'!$J$17</definedName>
    <definedName name="SP1000P100F5000">'Page 2'!$J$18</definedName>
    <definedName name="SP1000P200F1000">'Page 2'!$J$23</definedName>
    <definedName name="SP1000P200F2100">'Page 2'!$J$25</definedName>
    <definedName name="SP1000P200F2200">'Page 2'!$J$27</definedName>
    <definedName name="SP1000P200F2300">'Page 2'!$J$28</definedName>
    <definedName name="SP1000P200F2400">'Page 2'!$J$29</definedName>
    <definedName name="SP1000P200F2500">'Page 2'!$J$30</definedName>
    <definedName name="SP1000P200F2600">'Page 2'!$J$31</definedName>
    <definedName name="SP1000P200F2900">'Page 2'!$J$32</definedName>
    <definedName name="SP1000P200F3000">'Page 2'!$J$33</definedName>
    <definedName name="SP1000P200F4000">'Page 2'!$J$34</definedName>
    <definedName name="SP1000P200F5000">'Page 2'!$J$35</definedName>
    <definedName name="SP1000P300">'Page 2'!#REF!</definedName>
    <definedName name="SP1000P400">'Page 2'!$J$37</definedName>
    <definedName name="SP1000P530">'Page 2'!$J$38</definedName>
    <definedName name="SP1000P540">'Page 2'!$J$39</definedName>
    <definedName name="SP1000P550">'Page 2'!$J$40</definedName>
    <definedName name="SP1000P610">'Page 2'!$J$19</definedName>
    <definedName name="SP1000P620">'Page 2'!$J$20</definedName>
    <definedName name="SP1000P630700800900">'Page 2'!$J$21</definedName>
    <definedName name="SP1000StruEngImmProj">'Page 2'!$J$44</definedName>
    <definedName name="SpecialEdProgramsByType">'Instructions'!$C$37</definedName>
    <definedName name="StP1400EndBal">'Page 9'!$L$25</definedName>
    <definedName name="StP1410EndBal">'Page 9'!$L$26</definedName>
    <definedName name="StP1420EndBal">'Page 9'!$L$27</definedName>
    <definedName name="StP1425EndBal">'Page 9'!$L$28</definedName>
    <definedName name="StP1430EndBal">'Page 9'!$L$29</definedName>
    <definedName name="StP1435EndBal">'Page 9'!$L$30</definedName>
    <definedName name="StP1450EndBal">'Page 9'!$L$31</definedName>
    <definedName name="StP1455EndBal">'Page 9'!#REF!</definedName>
    <definedName name="StP1460EndBal">'Page 9'!$L$34</definedName>
    <definedName name="StP1465EndBal">'Page 9'!$L$35</definedName>
    <definedName name="StP14701499EndBal">'Page 9'!$L$36</definedName>
    <definedName name="StudentSuccessProject">'Instructions'!#REF!</definedName>
    <definedName name="TeacherSalaries">'Instructions'!$C$27</definedName>
    <definedName name="TeacherSalariesLine1">'Instructions'!$C$28</definedName>
    <definedName name="TeacherSalariesLine2">'Instructions'!$C$29</definedName>
    <definedName name="TeacherSalariesLine3">'Instructions'!$C$30</definedName>
    <definedName name="TeacherSalariesLine4">'Instructions'!$C$31</definedName>
    <definedName name="TeacherSalariesLine5">'Instructions'!$C$32</definedName>
    <definedName name="TechnologyDetail">'Instructions'!$C$51</definedName>
    <definedName name="TotalActualGiftedExpenses">'Instructions'!$C$36</definedName>
    <definedName name="TotalCIP6100">'Page 6'!$H$48</definedName>
    <definedName name="TotalCIP6200">'Page 6'!$I$48</definedName>
    <definedName name="TotalCIP630064006500">'Page 6'!$J$48</definedName>
    <definedName name="TotalCIP6600">'Page 6'!$K$48</definedName>
    <definedName name="TotalCIP6800">'Page 6'!$L$48</definedName>
    <definedName name="TotalCSP6100">'Page 4'!$F$26</definedName>
    <definedName name="TotalCSP6200">'Page 4'!$G$26</definedName>
    <definedName name="TotalCSP630064006500">'Page 4'!$H$26</definedName>
    <definedName name="TotalCSP6600">'Page 4'!$I$26</definedName>
    <definedName name="TotalCSPAct">'Page 4'!$K$26</definedName>
    <definedName name="TotalCSPBudg">'Page 4'!$J$26</definedName>
    <definedName name="TotalEnrollment">'Instructions'!#REF!</definedName>
    <definedName name="TotalSEIP6100">'Page 6'!$H$26</definedName>
    <definedName name="TotalSEIP6200">'Page 6'!$I$26</definedName>
    <definedName name="TotalSEIP630064006500">'Page 6'!$J$26</definedName>
    <definedName name="TotalSEIP6600">'Page 6'!$K$26</definedName>
    <definedName name="TotalSEIP6800">'Page 6'!$L$26</definedName>
    <definedName name="TotExpSchoolwide">'Page 2'!$J$41</definedName>
    <definedName name="Unrestricted_Restricted_4100_4300">'Instructions'!$C$11</definedName>
    <definedName name="UtilitiesandEnergyServices">'Instructions'!$C$50</definedName>
  </definedNames>
  <calcPr fullCalcOnLoad="1" fullPrecision="0"/>
</workbook>
</file>

<file path=xl/sharedStrings.xml><?xml version="1.0" encoding="utf-8"?>
<sst xmlns="http://schemas.openxmlformats.org/spreadsheetml/2006/main" count="983" uniqueCount="524">
  <si>
    <t xml:space="preserve">Report the number of full-time equivalent (FTE) certified, noncertified, and contract teachers on lines 1-3, respectively. These amounts may include fractional FTE for part-time teachers. A teacher should only be reported on one line. If a teacher is both a certified and contract teacher, only report the applicable FTE on line 3. Do not include instructional aides or assistants. </t>
  </si>
  <si>
    <t>Enter the total amount of funding received from ADE to pay eligible teachers for the intended 1.06% salary increase in FY 2018.</t>
  </si>
  <si>
    <t>Enter the total amount paid to eligible teachers for the intended 1.06% salary increase in FY 2018.</t>
  </si>
  <si>
    <t>Enter the actual FY 2017 total salary amount, including base salaries, Classroom Site Project Performance Pay, overtime, and additional compensation, of all teachers that received payments for the intended 1.06% salary increase.</t>
  </si>
  <si>
    <t>Difference (line 2 minus line 3)</t>
  </si>
  <si>
    <t>Section E— 
Current Expenses by Source,  
Lines 7 and 8</t>
  </si>
  <si>
    <t>The Every Student Succeeds Act (ESSA) requires current expenses to be reported by source. Report the portion of current expenses from line 6 that were paid from federal projects, excluding current expenses paid from federal projects intended to replace local tax revenues (e.g., Impact Aid) on line 7. If no expenses were paid from federal projects, enter a 0 value on line 7. Line 8 contains a formula to calculate the current expenses from state and local projects.</t>
  </si>
  <si>
    <t xml:space="preserve">George Gervin Youth Center, Inc. </t>
  </si>
  <si>
    <t xml:space="preserve">Gervin Prep Academy </t>
  </si>
  <si>
    <t>Maricopa</t>
  </si>
  <si>
    <t>078585000</t>
  </si>
  <si>
    <t>Barbara D Hawkins</t>
  </si>
  <si>
    <t>Frances Boynes</t>
  </si>
  <si>
    <t xml:space="preserve">Revenues received in the Classroom Site Project, Instructional Improvement Project, Structured English Immersion Project and Compensatory Instruction Project should be reported as Restricted. If you are not following the USFRCS Chart of Accounts, please report these Projects as 3200 Restricted for federal survey purposes. 
See the USFRCS Chart of Accounts for more information on Project, Function, and Object Codes and Descriptions. http://www.azauditor.gov/sites/default/files/USFRCS.pdf
</t>
  </si>
  <si>
    <r>
      <t xml:space="preserve">The information included on this page will be used by ADE to complete the National Public Education Financial Survey (NPEFS) and Form 33 issued by the National Center for Education Statistics. </t>
    </r>
    <r>
      <rPr>
        <b/>
        <u val="single"/>
        <sz val="10"/>
        <rFont val="Times New Roman"/>
        <family val="1"/>
      </rPr>
      <t>NPEFS data is required to be submitted by all schools</t>
    </r>
    <r>
      <rPr>
        <sz val="10"/>
        <rFont val="Times New Roman"/>
        <family val="0"/>
      </rPr>
      <t xml:space="preserve"> and is used to calculate a state per pupil expenditure amount that is used in the formula for allocating a number of federal program funds to states and local education agencies, including Title I, Impact Aid, and Indian Education. Other programs use state per pupil expenditure data indirectly because their allocation formulas are based, in whole, or in part, on state Title I allocations. The NPEFS and Form 33 data is also used by researchers and government policymakers to address important education policy and research issues.
Report all amounts from Projects 1000 through 1999 on this page.
See the USFRCS Chart of Accounts for more information on Project, Function, and Object Codes and Descriptions http://www.azauditor.gov/sites/default/files/USFRCS.pdf</t>
    </r>
  </si>
  <si>
    <t>An alert will appear on the cover page when commonly missed areas of the AFR are not completed. The alert will disappear as the related areas of the AFR are completed. Schools should complete all areas of the AFR that apply to their school operations, whether or not the item is listed in the alert. These alerts do not replace the need for a separate school employee to review the AFR for accuracy and completeness.</t>
  </si>
  <si>
    <t>All actual revenues, expenses, and account balances presented on the AFR must agree with the school’s accounting records as of June 30, 2018. Revenue and expense account codes used in the AFR agree with the Uniform System of Financial Records for Arizona Charter Schools (USFRCS) Chart of Accounts. Expense budget amounts should be taken from the school's most recently revised or adopted budget, which has been submitted to ADE, for FY 2018.            
Revenues must include cash receipts through June 30, 2018, and accrued revenues received after the end of the fiscal year. Examples of accrued revenues are cost reimbursement and entitlement programs, interest earned on investments, and FY 2018 classroom site project revenues.         
Expenses consist of all expenses incurred during the fiscal year, including expenses for goods and services received on or before June 30, 2018, but not paid for by that date. Examples of items requiring such treatment are included in the USFRCS, pages VI-G-8 and 9.</t>
  </si>
  <si>
    <r>
      <t xml:space="preserve">Report expenses for technology-related supplies coded to object code 6650, technology-related hardware and software costs below the capitalization threshold, and technology-related purchased services on line 1. For technology-related supplies, include expenses for supplies that are typically used in conjunction with technology-related hardware or software (e.g., compact discs, flash drives, cables, and monitor stands). Technology-related hardware and software costs that exceed the capitalization threshold should be reported on line 2. Do </t>
    </r>
    <r>
      <rPr>
        <b/>
        <u val="single"/>
        <sz val="10"/>
        <rFont val="Times New Roman"/>
        <family val="1"/>
      </rPr>
      <t>not</t>
    </r>
    <r>
      <rPr>
        <sz val="10"/>
        <rFont val="Times New Roman"/>
        <family val="0"/>
      </rPr>
      <t xml:space="preserve"> include expenses for nontechnology-related equipment such as machinery, vehicles, and furniture.</t>
    </r>
  </si>
  <si>
    <t>We, the Governing Board of the Charter School, hereby certify the Annual Financial Report for Fiscal Year 2018</t>
  </si>
  <si>
    <t>Report base salaries, overtime, and additional compensation paid to certified and noncertified teachers, certified and noncertified substitute teachers, and contract teachers.  Do not include salaries paid to instructional aides or assistants.  Report the salaries based on the appropriate program.  If a teacher teaches in more than one program, calculate the salary based on the amount of time instructing in each program. If FTE amounts were reported for certified, noncertified, or contract teachers in Section F, corresponding salary amounts should be reported in Section G.</t>
  </si>
  <si>
    <t>Federal and State Projects, Line 32</t>
  </si>
  <si>
    <t>The total budget and actual expenses on line 32 should agree with the total column for federal and state projects on line 37 of page 2.</t>
  </si>
  <si>
    <t xml:space="preserve">H. </t>
  </si>
  <si>
    <t>Federal and State Projects (from page 9, line 32)</t>
  </si>
  <si>
    <t>1457 Results-Based Funding</t>
  </si>
  <si>
    <t>8. Current Expenses from State and Local Projects, including those projects intended to replace local tax revenues (e.g., most Impact Aid Projects)</t>
  </si>
  <si>
    <t>7. Current Expenses from Federal Projects, excluding those projects intended to replace local tax revenues (e.g., most Impact Aid Projects)</t>
  </si>
  <si>
    <r>
      <t xml:space="preserve">FY 2018 ADDITIONAL TEACHER SALARY INCREASE (LAWS 2017, Ch. 305, </t>
    </r>
    <r>
      <rPr>
        <sz val="10"/>
        <rFont val="Calibri"/>
        <family val="2"/>
      </rPr>
      <t>§</t>
    </r>
    <r>
      <rPr>
        <sz val="10"/>
        <rFont val="Times New Roman"/>
        <family val="0"/>
      </rPr>
      <t>33)</t>
    </r>
  </si>
  <si>
    <t>Section H— 
FY 2018 Additional Teacher Salary Increase, Line 1</t>
  </si>
  <si>
    <t>Section H— 
FY 2018 Additional Teacher Salary Increase, Line 2</t>
  </si>
  <si>
    <t>Section H— 
FY 2018 Additional Teacher Salary Increase, Line 3</t>
  </si>
  <si>
    <t xml:space="preserve">Total FY 17 salary amount of eligible teachers that received 1.06% salary increase </t>
  </si>
  <si>
    <t>Funding received to pay eligible teachers for the 1.06% salary increase in FY 18</t>
  </si>
  <si>
    <t>Actual amount paid to eligible teachers for the 1.06% salary increase in FY 18</t>
  </si>
  <si>
    <t>Enter the total increase in capital assets, by asset classification, recorded in the general ledger and on the capital assets list for the year ended June 30, 2018.  These amounts represent only the acquisitions made during the year costing $5,000 or more and, for equipment, having useful lives of 1 year or more. If no acquisitions were made during the year, enter a 0 value in each line.
Note:  If the school's policy is to include land, buildings, and related improvements; site improvements; or equipment costing less than $5,000 on the capital assets list, these items should also be included.</t>
  </si>
  <si>
    <t xml:space="preserve">Enter the total increase in construction in progress for the year ended June 30, 2018.  This amount is not recorded on the capital assets list until the project is completed.  Therefore, it will not appear on the capital assets list as of June 30, 2018.
</t>
  </si>
  <si>
    <t>Enter the total cost, by asset classification, recorded in the general ledger and on the capital assets list as of June 30, 2018, for items costing $5,000 or more and, for equipment, having useful lives of 1 year or more.  These amounts represent the ending balances in the capital assets accounts and should not include depreciation.
Note:  If the school's policy is to include land, buildings, and related improvements; site improvements; or equipment costing less than $5,000 on the capital assets list, these items should also be included.  The sum of lines 1, 2, 3, and 4 should agree with the amount recorded on the school's capital assets list as of June 30, 2018.</t>
  </si>
  <si>
    <t>Enter the total cost of construction in progress as of June 30, 2018.  This amount is not recorded on the capital assets list as of June 30, 2018.</t>
  </si>
  <si>
    <t xml:space="preserve">The annual financial report file(s) for FY 2018 uploaded to the Arizona Department of </t>
  </si>
  <si>
    <t>INVESTMENT IN CAPITAL ASSETS AS OF JUNE 30, 2018</t>
  </si>
  <si>
    <t>1456 College Credit Exam Incentives</t>
  </si>
  <si>
    <t xml:space="preserve">     Total State Projects (lines 19-30)</t>
  </si>
  <si>
    <t xml:space="preserve">     Total Federal and State Projects (lines 18 and 31)</t>
  </si>
  <si>
    <t>Cash and Investments held at June 30, 2018</t>
  </si>
  <si>
    <t xml:space="preserve">     1. Long-term Debt Outstanding, July 1, 2017</t>
  </si>
  <si>
    <t xml:space="preserve">     2. Long-term Debt issued during FY 2018</t>
  </si>
  <si>
    <t xml:space="preserve">     3. Long-term Debt retired during FY 2018</t>
  </si>
  <si>
    <t xml:space="preserve">     4. Long-term Debt Outstanding, June 30, 2018</t>
  </si>
  <si>
    <t xml:space="preserve">     5. Short-term Debt Outstanding, July 1, 2017</t>
  </si>
  <si>
    <t xml:space="preserve">     6. Short-term Debt Outstanding, June 30, 2018</t>
  </si>
  <si>
    <t xml:space="preserve">Do not include expenses of project codes 1100 through 1499 with other schoolwide project expenses on lines 1 through 36.
Do not include payments for capital acquisitions or depreciation expense.  </t>
  </si>
  <si>
    <t>The total of budget and actual federal and state project expenses (project codes 1100 through 1499 on page 9) should be included on line 37.  The total of budgeted and actual expenses on line 37 should agree with the total of federal and state project expenses on line 32 of page 9.</t>
  </si>
  <si>
    <r>
      <t xml:space="preserve">Record amounts expended in FY 2018 for audit services. 
Non-federal audit expense incurred in FY 2018 may be included on the budget work sheets for FY 2020 for reimbursement pursuant to A.R.S. </t>
    </r>
    <r>
      <rPr>
        <sz val="10"/>
        <rFont val="Calibri"/>
        <family val="2"/>
      </rPr>
      <t>§</t>
    </r>
    <r>
      <rPr>
        <sz val="10"/>
        <rFont val="Times New Roman"/>
        <family val="0"/>
      </rPr>
      <t xml:space="preserve">15-914.  In order to receive reimbursement in FY 2020, non-federal audit expenses must be included in the FY 2018 AFR.  Amounts reported must be amounts actually spent in FY 2018.  </t>
    </r>
    <r>
      <rPr>
        <b/>
        <sz val="10"/>
        <rFont val="Times New Roman"/>
        <family val="1"/>
      </rPr>
      <t>Do not include the costs of consulting or other services paid to audit firms in the non-federal or federal audit services actual expenses.</t>
    </r>
  </si>
  <si>
    <r>
      <t xml:space="preserve">Long-term Debt—Report beginning and ending balances for all bonded indebtedness and any other interest-bearing debt with a term of more than one year on lines 1 and 4, respectively. Include bonds, notes and loans. Report all long-term debt issued during the fiscal year on line 2. Report all principal payments made on long-term debt during the fiscal year on line 3.
Short-term Debt—Report beginning and ending balances for interest-bearing debt with a term of one year or less such as bank revolving lines of credit and other short-term debt. Schools with short-term debt activity but no beginning and ending balances should report 0 on lines 5 and 6.
</t>
    </r>
    <r>
      <rPr>
        <b/>
        <sz val="10"/>
        <rFont val="Times New Roman"/>
        <family val="1"/>
      </rPr>
      <t>DO NOT INCLUDE</t>
    </r>
    <r>
      <rPr>
        <sz val="10"/>
        <rFont val="Times New Roman"/>
        <family val="0"/>
      </rPr>
      <t xml:space="preserve"> lease purchase agreements, compensated absences, accounts payable, and other noninterest bearing obligations in amounts reported in this section.
This section was added to the AFR to assist with Form 33 reporting to NCES.</t>
    </r>
  </si>
  <si>
    <t>Education's website on</t>
  </si>
  <si>
    <r>
      <t>Section F</t>
    </r>
    <r>
      <rPr>
        <sz val="10"/>
        <rFont val="Calibri"/>
        <family val="2"/>
      </rPr>
      <t>—</t>
    </r>
    <r>
      <rPr>
        <sz val="10"/>
        <rFont val="Times New Roman"/>
        <family val="0"/>
      </rPr>
      <t>Number of 
Full-Time Equivalent Teachers</t>
    </r>
  </si>
  <si>
    <r>
      <t xml:space="preserve">Schools should report ending balance amounts of cash and investments (at market value) for the following funds:
     </t>
    </r>
    <r>
      <rPr>
        <b/>
        <sz val="10"/>
        <rFont val="Times New Roman"/>
        <family val="1"/>
      </rPr>
      <t xml:space="preserve">Sinking funds </t>
    </r>
    <r>
      <rPr>
        <sz val="10"/>
        <rFont val="Times New Roman"/>
        <family val="0"/>
      </rPr>
      <t xml:space="preserve">— funds containing reserves held specifically for redemption of long-term debt.
   </t>
    </r>
    <r>
      <rPr>
        <b/>
        <sz val="10"/>
        <rFont val="Times New Roman"/>
        <family val="1"/>
      </rPr>
      <t xml:space="preserve">  Bond funds </t>
    </r>
    <r>
      <rPr>
        <sz val="10"/>
        <rFont val="Times New Roman"/>
        <family val="0"/>
      </rPr>
      <t xml:space="preserve">— funds containing unexpended proceeds of bond issues that were being held pending their
     disbursement.                                       
     </t>
    </r>
    <r>
      <rPr>
        <b/>
        <sz val="10"/>
        <rFont val="Times New Roman"/>
        <family val="1"/>
      </rPr>
      <t xml:space="preserve">Other funds </t>
    </r>
    <r>
      <rPr>
        <sz val="10"/>
        <rFont val="Times New Roman"/>
        <family val="0"/>
      </rPr>
      <t xml:space="preserve">— all other funds, </t>
    </r>
    <r>
      <rPr>
        <b/>
        <sz val="10"/>
        <rFont val="Times New Roman"/>
        <family val="1"/>
      </rPr>
      <t>exclude</t>
    </r>
    <r>
      <rPr>
        <sz val="10"/>
        <rFont val="Times New Roman"/>
        <family val="0"/>
      </rPr>
      <t xml:space="preserve"> any employee retirement funds.
Include cash balances; cash on hand; certificates of deposit; federal securities; state and local government securities; mortgages; and corporate stocks, bonds, and notes. </t>
    </r>
    <r>
      <rPr>
        <b/>
        <sz val="10"/>
        <rFont val="Times New Roman"/>
        <family val="1"/>
      </rPr>
      <t>Exclude</t>
    </r>
    <r>
      <rPr>
        <sz val="10"/>
        <rFont val="Times New Roman"/>
        <family val="0"/>
      </rPr>
      <t xml:space="preserve"> accounts receivable, value of real property, and all nonsecurity assets.
This section was added to the AFR to assist with Form 33 reporting to NCES.
 </t>
    </r>
  </si>
  <si>
    <t xml:space="preserve">Special Education includes expenses coded to Program 200 (excluding ELL incremental costs, and compensatory instruction, vocational and technological education, and career education programs).  </t>
  </si>
  <si>
    <t>FY 2018</t>
  </si>
  <si>
    <t>Section E— 
Current Expenses by Category,  
Line 5</t>
  </si>
  <si>
    <t>Section G— Teacher Salaries</t>
  </si>
  <si>
    <t>Section G— 
Teachers Salaries,  
Line 1</t>
  </si>
  <si>
    <t>Section G— 
Teachers Salaries,  
Line 2</t>
  </si>
  <si>
    <t>Section G— 
Teachers Salaries,  
Line 3</t>
  </si>
  <si>
    <t>Section G— 
Teachers Salaries,  
Line 4</t>
  </si>
  <si>
    <t>Section G— 
Teachers Salaries,  
Line 5</t>
  </si>
  <si>
    <r>
      <t>A.R.S. §15-255 requires the Superintendent of Public Instruction's Annual Report to include total current expenses per pupil and separate per pupil amounts by (1) classroom instruction excluding classroom supplies, (2) classroom supplies, (3) administration, (4) support services</t>
    </r>
    <r>
      <rPr>
        <sz val="10"/>
        <rFont val="Calibri"/>
        <family val="2"/>
      </rPr>
      <t>—</t>
    </r>
    <r>
      <rPr>
        <sz val="10"/>
        <rFont val="Times New Roman"/>
        <family val="0"/>
      </rPr>
      <t>students, and (5) all other support services and operations. ADE will calculate the "per pupil" amounts based on the total current expenses reported on lines 1 through 5 of this section. 
Current expenses required to be reported include expenses from all projects for elementary and secondary education.  Current expenses do not include outlays for facilities acquisition and construction, furniture, equipment, technology, vehicles, debt retirement, and expenses for nonpublic school programs (e.g., adult/continuing education, community college education, community services, etc.).</t>
    </r>
  </si>
  <si>
    <t xml:space="preserve">     1. Sinking funds</t>
  </si>
  <si>
    <t xml:space="preserve">     2. Bond funds</t>
  </si>
  <si>
    <t xml:space="preserve">     3. Other funds, except for any employee retirement funds</t>
  </si>
  <si>
    <t>Cash and Investments held at fiscal year end</t>
  </si>
  <si>
    <r>
      <t xml:space="preserve">Report expenses for utility services coded to object code 6410, such as water and sewage services, and energy expenses, such as electricity, gas, coal, and gasoline coded to object codes 6621-6626. Services received from public or private utility companies should be reported here. Do </t>
    </r>
    <r>
      <rPr>
        <b/>
        <u val="single"/>
        <sz val="10"/>
        <rFont val="Times New Roman"/>
        <family val="1"/>
      </rPr>
      <t>not</t>
    </r>
    <r>
      <rPr>
        <sz val="10"/>
        <rFont val="Times New Roman"/>
        <family val="0"/>
      </rPr>
      <t xml:space="preserve"> include expenses for telephone or internet services.</t>
    </r>
  </si>
  <si>
    <t xml:space="preserve">     2. Technology-related hardware &amp; software</t>
  </si>
  <si>
    <t xml:space="preserve">     1. Technology-related supplies &amp; purchased services</t>
  </si>
  <si>
    <t xml:space="preserve">1600 Food Service, Line 6 </t>
  </si>
  <si>
    <t>Report all revenues received from dispensing food to students and adults. If the school participates in the National School Lunch Program and completed the Food Service AFR as required, this amount will populate from Revenues, line 2 on the Food Service AFR. If the school did not collect any revenue from students or adults for food service, enter a 0 value on the line.</t>
  </si>
  <si>
    <t>Expenses, Lines 1-36</t>
  </si>
  <si>
    <t>Federal and State Projects, Line 37</t>
  </si>
  <si>
    <t>Enter Impact Aid amounts on Line 16 and all Other Federal Projects (less Impact Aid) on Line 17.</t>
  </si>
  <si>
    <t>Section C— Total All Disability Classifications</t>
  </si>
  <si>
    <t>Enter total expenses for the disability classifications defined in A.R.S. §15-761.</t>
  </si>
  <si>
    <t>1. Schoolwide (from page 2, line 32)</t>
  </si>
  <si>
    <t>2. Classroom Site Project (from page 2, line 33)</t>
  </si>
  <si>
    <t xml:space="preserve">     Subtotal (lines 15 and 27-31)</t>
  </si>
  <si>
    <t xml:space="preserve">     Total (lines 32-37)</t>
  </si>
  <si>
    <t>Total (lines 12 and 13)</t>
  </si>
  <si>
    <t>Total (lines 26 and 27)</t>
  </si>
  <si>
    <t>Total (lines 1-7)</t>
  </si>
  <si>
    <t>Total All Disability Classifications</t>
  </si>
  <si>
    <t>Section B— 
Audit Services</t>
  </si>
  <si>
    <t>Section C— 
Capital Acquisitions</t>
  </si>
  <si>
    <t>Section C— 
Capital Acquisitions,  
Line 5</t>
  </si>
  <si>
    <t>Section D— Investment in Capital Assets</t>
  </si>
  <si>
    <t>Section D— 
Investment in Capital Assets,  
Line 5</t>
  </si>
  <si>
    <t>Section E— Current Expenses by Category</t>
  </si>
  <si>
    <t>Section E— 
Current Expenses by Category,  
Line 1</t>
  </si>
  <si>
    <t>Section E— 
Current Expenses by Category,  
Line 2</t>
  </si>
  <si>
    <t>Section E— 
Current Expenses by Category,  
Line 3</t>
  </si>
  <si>
    <t>Section E— 
Current Expenses by Category,  
Line 4</t>
  </si>
  <si>
    <t>Property Disbursements for Buildings should include only disbursements for the purchase of existing buildings.  All disbursements for construction services for buildings and building improvements (whether or not construction is in progress at year-end) should be included on the Construction line. Total property disbursements in this table should equal the sum of property disbursements in the two preceding tables above. If no disbursements were made during the year, enter a 0 value in each line.</t>
  </si>
  <si>
    <t>The school should report all amounts to the nearest dollar.  Information should not be entered in the shaded areas or protected cells. Formulas should not be changed and applicable footnotes and instructions should be followed to ensure uploaded files will pass all validation checks.</t>
  </si>
  <si>
    <t>Do not include Federal Impact Aid revenues received on this line. These revenues should be reported on Line 23 as 4800 Federal Impact Aid.</t>
  </si>
  <si>
    <t xml:space="preserve">Amounts reported for programs 610, 620, and 630 on page 2, should be included within the amounts reported for programs 100-600 here. </t>
  </si>
  <si>
    <t>(ELEMENTARY &amp; SECONDARY)</t>
  </si>
  <si>
    <t xml:space="preserve">    1600  Food Service (from Food Service AFR, line 2)</t>
  </si>
  <si>
    <t>Charter School Official (Typed Name)</t>
  </si>
  <si>
    <t>1. Program 700 - Adult/Continuing Education Programs</t>
  </si>
  <si>
    <t>2. Program 800 - Community College Education Programs</t>
  </si>
  <si>
    <t>3. Program 900 - Community Services Program</t>
  </si>
  <si>
    <t>4. Function 3300 - Community Services Operations (all Programs)</t>
  </si>
  <si>
    <t xml:space="preserve">      1. Land and Land Improvements</t>
  </si>
  <si>
    <t xml:space="preserve">      2. Buildings</t>
  </si>
  <si>
    <t xml:space="preserve">      3. Equipment</t>
  </si>
  <si>
    <t xml:space="preserve">      4. Construction</t>
  </si>
  <si>
    <t xml:space="preserve">      1. Interest 6850</t>
  </si>
  <si>
    <t xml:space="preserve">      2. Redemption of Principal</t>
  </si>
  <si>
    <t xml:space="preserve">     1. 6410 Utility Services</t>
  </si>
  <si>
    <t>Technology Detail</t>
  </si>
  <si>
    <t>Utilities and Energy Services</t>
  </si>
  <si>
    <t>Long-term and Short-term Debt</t>
  </si>
  <si>
    <t>Utilities and Energy Detail (Only Function 2600)</t>
  </si>
  <si>
    <t>Technology (All Functions)</t>
  </si>
  <si>
    <t xml:space="preserve">     2. 6621-6626 Energy</t>
  </si>
  <si>
    <t xml:space="preserve">Regular Education includes expenses coded to Program 100,  career education programs coded to Program 200, and K-3 Reading expenses coded to Program 550.  </t>
  </si>
  <si>
    <t xml:space="preserve">The AFR presents condensed financial activity (i.e., beginning and ending balances, revenues and expenses, and budget to actual comparisons of expenses for the fiscal year) of the charter school for comparison purposes. This information assists sponsors, school governing boards, administrators, ADE, legislators, other governmental agencies, and taxpayers in determining whether charter schools are meeting their stewardship responsibilities.
</t>
  </si>
  <si>
    <t>Cocurricular Activities, Athletics, and Other includes expenses coded to Program 600.</t>
  </si>
  <si>
    <t xml:space="preserve">These instructions are provided to help schools prepare the Charter School Annual Financial Report (AFR). Within the forms, blue font indicates that an instruction is linked to that specific line. An instructions button has also been provided that links to any general instructions or to the first instruction for a page. </t>
  </si>
  <si>
    <t>C. SPECIAL EDUCATION PROGRAMS BY TYPE</t>
  </si>
  <si>
    <t xml:space="preserve">B. EXPENSES FOR GIFTED PUPILS </t>
  </si>
  <si>
    <t xml:space="preserve">Sections B and C— 
Total Gifted Expenses  
</t>
  </si>
  <si>
    <t>Total Actual Gifted Expenses in Sections B and C must agree.</t>
  </si>
  <si>
    <t>Section C— Special Ed. Programs by Type</t>
  </si>
  <si>
    <t>Charter School Official Signature</t>
  </si>
  <si>
    <t>TOTAL REVENUE FROM ALL SOURCES (lines 9, 13, 19, and 26)</t>
  </si>
  <si>
    <r>
      <t xml:space="preserve">      </t>
    </r>
    <r>
      <rPr>
        <sz val="10"/>
        <rFont val="Times New Roman"/>
        <family val="0"/>
      </rPr>
      <t>Subtotal (lines 1-8)</t>
    </r>
  </si>
  <si>
    <t xml:space="preserve">      Subtotal (lines 10-12)</t>
  </si>
  <si>
    <t xml:space="preserve">      Subtotal (lines 14-18)</t>
  </si>
  <si>
    <t xml:space="preserve">      Subtotal (lines 20-25)</t>
  </si>
  <si>
    <t>13__ Impact Aid</t>
  </si>
  <si>
    <t xml:space="preserve">     Total Federal Projects (lines 1-17)</t>
  </si>
  <si>
    <t>Impact Aid and Other Federal Projects, Lines 16 and 17</t>
  </si>
  <si>
    <t xml:space="preserve">(Excluding 6810,   </t>
  </si>
  <si>
    <t>6850 and 6890)</t>
  </si>
  <si>
    <t>6800</t>
  </si>
  <si>
    <t>3200  Restricted,
Line 16</t>
  </si>
  <si>
    <t>4100, 4300  Unrestricted/Restricted Received Directly from the Federal Government, 
Line 20</t>
  </si>
  <si>
    <t>All Other Support Services and Operations includes current expenses coded to Functions 2200, 2600, 2700, 3100, and 3400.  Do not include expenses coded to Program Codes 700, 800, and 900.</t>
  </si>
  <si>
    <t>Vocational Education includes expenses coded to Programs 270 and 540.</t>
  </si>
  <si>
    <t>Other Programs includes expenses coded to Programs 260, 265, and 530.</t>
  </si>
  <si>
    <t>Enter the amounts of expenses for special education programs by type.  Supporting documentation should be retained for the allocation of expenses to individual special education programs.</t>
  </si>
  <si>
    <t>Federal and State Projects</t>
  </si>
  <si>
    <t>Property Disbursements</t>
  </si>
  <si>
    <t>Debt Service amounts should include interest and redemption of principal for all Programs.  Interest should be expenses charged to object code 6850.  Redemption of Principal should include payments made during the year for principal on capital leases and other long-term debt that were recorded as a reduction of the related liability.</t>
  </si>
  <si>
    <t xml:space="preserve">Amounts for indirect costs, expenses, capital acquisitions, and ending balance should agree with the school's completion reports filed with the ADE Grants Management Office.  </t>
  </si>
  <si>
    <t>Property Disbursements should include actual payments made during the year for capital acquisitions, not including related capital lease or other debt service payments.  Property Disbursements for nonfixed (movable) equipment in Programs 100 through 600 should be allocated to Functions 1000 through 4000 based on the intended use of the equipment.  All other Property Disbursements for these Programs should be included in Function 4000.</t>
  </si>
  <si>
    <t>Other Programs</t>
  </si>
  <si>
    <t xml:space="preserve">Vocational Education </t>
  </si>
  <si>
    <t>Special Education</t>
  </si>
  <si>
    <t xml:space="preserve">Regular Education </t>
  </si>
  <si>
    <t xml:space="preserve">TEACHER SALARIES </t>
  </si>
  <si>
    <t>Gifted Education</t>
  </si>
  <si>
    <t xml:space="preserve">Program 200 Totals
</t>
  </si>
  <si>
    <r>
      <t>Support Services</t>
    </r>
    <r>
      <rPr>
        <sz val="10"/>
        <rFont val="Calibri"/>
        <family val="2"/>
      </rPr>
      <t>—</t>
    </r>
    <r>
      <rPr>
        <sz val="10"/>
        <rFont val="Times New Roman"/>
        <family val="0"/>
      </rPr>
      <t>Students includes current expenses coded to Function 2100.  Do not include expenses coded to Program Codes 700, 800, and 900.</t>
    </r>
  </si>
  <si>
    <t>4000 Facilities Acquisition &amp; Construction</t>
  </si>
  <si>
    <t xml:space="preserve">      2100 Students</t>
  </si>
  <si>
    <t xml:space="preserve">      2200 Instruction</t>
  </si>
  <si>
    <t xml:space="preserve">      2300 General Administration</t>
  </si>
  <si>
    <t xml:space="preserve">      2400 School Administration</t>
  </si>
  <si>
    <t xml:space="preserve">      2500, 2900 Central Services, Other Support Services </t>
  </si>
  <si>
    <t xml:space="preserve">      2600 Operation &amp; Maintenance of Plant</t>
  </si>
  <si>
    <t xml:space="preserve">      2700 Student Transportation</t>
  </si>
  <si>
    <t xml:space="preserve">      3100 Food Service Operations</t>
  </si>
  <si>
    <t xml:space="preserve">      3400 Bookstore Operations</t>
  </si>
  <si>
    <t>Miscellaneous</t>
  </si>
  <si>
    <t>6300, 6400,</t>
  </si>
  <si>
    <t>Debt Service</t>
  </si>
  <si>
    <t>All Programs</t>
  </si>
  <si>
    <t>Total (lines 1-11)</t>
  </si>
  <si>
    <t>Property</t>
  </si>
  <si>
    <t>Disbursements</t>
  </si>
  <si>
    <t>All Expense</t>
  </si>
  <si>
    <t>Object Codes</t>
  </si>
  <si>
    <t xml:space="preserve">Property </t>
  </si>
  <si>
    <t>6700 and 6900)</t>
  </si>
  <si>
    <t>(Excluding</t>
  </si>
  <si>
    <t xml:space="preserve">        (lines 1-3)</t>
  </si>
  <si>
    <t>1011 - Base Salary</t>
  </si>
  <si>
    <t>1012 - Performance</t>
  </si>
  <si>
    <t>1013 - Other</t>
  </si>
  <si>
    <t>Property Disbursements by Type</t>
  </si>
  <si>
    <t>Expenses (line 13 &amp; p. 3, lines 13 &amp; 26)</t>
  </si>
  <si>
    <t xml:space="preserve">    1320  Tuition from Other Arizona Schools or Districts</t>
  </si>
  <si>
    <t xml:space="preserve">    1310  Tuition from Individuals</t>
  </si>
  <si>
    <t>550 K-3 Reading</t>
  </si>
  <si>
    <t>Page</t>
  </si>
  <si>
    <t>Reference</t>
  </si>
  <si>
    <t>General</t>
  </si>
  <si>
    <t>Cover</t>
  </si>
  <si>
    <t>Name, County, CTDS Number</t>
  </si>
  <si>
    <t>The school name, county, and CTDS number should be entered on the cover page of the AFR. The CTDS number should not contain any slashes, dashes, etc., and must be exactly nine digits. Zeros should be entered to fill the School portion of the number on the cover page. This information will be automatically transferred to other sheets in the file.</t>
  </si>
  <si>
    <t xml:space="preserve">Report all revenues received by the school on this page.  </t>
  </si>
  <si>
    <t>Classroom Instruction excluding Classroom Supplies includes current expenses coded to Function 1000 less Function 1000, Object Code 6600.  Do not include expenses coded to Program Codes 700, 800, and 900.</t>
  </si>
  <si>
    <t>Classroom Supplies includes current expenses coded to Function 1000, Object Code 6600.  Do not include expenses coded to Program Codes 700, 800, and 900.</t>
  </si>
  <si>
    <t>Administration includes current expenses coded to Functions 2300, 2400, 2500, and 2900.  Do not include expenses coded to Program Codes 700, 800, and 900.</t>
  </si>
  <si>
    <t>PROGRAM 200 BUDGET</t>
  </si>
  <si>
    <t>3200 Restricted Revenue from State Sources</t>
  </si>
  <si>
    <t>Total Revenues (lines 1 and 2)</t>
  </si>
  <si>
    <t>1500 Earnings on Investments</t>
  </si>
  <si>
    <t>Ending</t>
  </si>
  <si>
    <t>Project</t>
  </si>
  <si>
    <t>Balance</t>
  </si>
  <si>
    <t>Total  Expenses</t>
  </si>
  <si>
    <t>Program 260 Subtotal (lines 4-11)</t>
  </si>
  <si>
    <t>435 Pupil Trans.-ELL Compensatory Instruction</t>
  </si>
  <si>
    <t>Revenues and Expenses</t>
  </si>
  <si>
    <t>260 Special Education-ELL Incremental Costs</t>
  </si>
  <si>
    <t>265 Special Education-ELL Compensatory Instruction</t>
  </si>
  <si>
    <t>Prior Year</t>
  </si>
  <si>
    <t>Beginning</t>
  </si>
  <si>
    <t xml:space="preserve">    4700 Revenue Received from the Federal Government through Other Intermediate Agencies</t>
  </si>
  <si>
    <t>Structured English Immersion Project (from page 6, line 14)</t>
  </si>
  <si>
    <t>Compensatory Instruction Project (from page 6, line 28 )</t>
  </si>
  <si>
    <t>Program 265 Subtotal (lines 18-25)</t>
  </si>
  <si>
    <t>Total Revenues (lines 15 and 16)</t>
  </si>
  <si>
    <t xml:space="preserve">Program 200 Budget and Program 200 Actual column totals should equal line 27 on page 2. </t>
  </si>
  <si>
    <t>Expenses (line 5 above)</t>
  </si>
  <si>
    <t>Teachers</t>
  </si>
  <si>
    <t>Certified</t>
  </si>
  <si>
    <t>(Object 6112)</t>
  </si>
  <si>
    <t>(Object 6152)</t>
  </si>
  <si>
    <t>Noncertified</t>
  </si>
  <si>
    <t>Substitutes</t>
  </si>
  <si>
    <t>(Object 6113)</t>
  </si>
  <si>
    <t>(Object 6153)</t>
  </si>
  <si>
    <t>Contract</t>
  </si>
  <si>
    <t>(Object 6325)</t>
  </si>
  <si>
    <t xml:space="preserve">       2600 Operation &amp; Maintenance of Plant </t>
  </si>
  <si>
    <t xml:space="preserve">    4000 Facilities Acquisition &amp; Construction</t>
  </si>
  <si>
    <t xml:space="preserve">        2600 Operation &amp; Maintenance of Plant </t>
  </si>
  <si>
    <t xml:space="preserve">     4000 Facilities Acquisition &amp; Construction </t>
  </si>
  <si>
    <t>Total Inst. Imp. Expenses (lines 1-4, should equal line 9 below)</t>
  </si>
  <si>
    <t xml:space="preserve">2600 Operation &amp; Maintenance of Plant </t>
  </si>
  <si>
    <t>2900 Other Support Services</t>
  </si>
  <si>
    <t>6.     Total Capital Acquisitions (lines 1-5)</t>
  </si>
  <si>
    <t>1100-1130 ESEA Title I - Helping Disadvantaged Children</t>
  </si>
  <si>
    <t>1140-1150 ESEA Title II  - Prof. Dev. And Technology</t>
  </si>
  <si>
    <t>Dropout Prevention Programs</t>
  </si>
  <si>
    <t>Instructional Improvement Programs</t>
  </si>
  <si>
    <t>Programs 100-600</t>
  </si>
  <si>
    <t xml:space="preserve">Purchased </t>
  </si>
  <si>
    <t>Tuition Expense (except payments to other Arizona schools or districts)</t>
  </si>
  <si>
    <t>ADDITIONAL INFORMATION FOR NATIONAL PUBLIC EDUCATION FINANCIAL SURVEY REPORTING</t>
  </si>
  <si>
    <t>Projects (1000-1999)</t>
  </si>
  <si>
    <t>Fees</t>
  </si>
  <si>
    <t>Dues and</t>
  </si>
  <si>
    <t>3000 Operation of Noninstructional Services</t>
  </si>
  <si>
    <t xml:space="preserve">    4200, 4500  Unrestricted/Restricted Received from the Federal Government through the State</t>
  </si>
  <si>
    <t>Employee</t>
  </si>
  <si>
    <t xml:space="preserve">Ending Project Balance (line 19 minus line 20) </t>
  </si>
  <si>
    <t xml:space="preserve">    1410  Transportation Fees from Individuals</t>
  </si>
  <si>
    <t>2.  Classroom Supplies</t>
  </si>
  <si>
    <t>3.  Administration</t>
  </si>
  <si>
    <t>4.  Support Services - Students</t>
  </si>
  <si>
    <t>6.     Total (lines 1-5)</t>
  </si>
  <si>
    <t>Number of Full-Time Equivalent Certified Teachers</t>
  </si>
  <si>
    <t>Number of Full-Time Equivalent Noncertified Teachers</t>
  </si>
  <si>
    <t>Number of Full-Time Equivalent Contract Teachers</t>
  </si>
  <si>
    <t xml:space="preserve"> (Function 1000)</t>
  </si>
  <si>
    <t>Cocurr. Act., Athletics, &amp; Other (Program 600)</t>
  </si>
  <si>
    <t>Compensatory Instruction Project - 1072</t>
  </si>
  <si>
    <t xml:space="preserve">    Subtotal (lines 1-14)</t>
  </si>
  <si>
    <t>38.</t>
  </si>
  <si>
    <t>ELL Incremental Costs</t>
  </si>
  <si>
    <t>ELL Compensatory Instruction</t>
  </si>
  <si>
    <t>1425 Adult Basic Education</t>
  </si>
  <si>
    <t xml:space="preserve">       2100 Students </t>
  </si>
  <si>
    <t xml:space="preserve">       2200 Instruction </t>
  </si>
  <si>
    <t xml:space="preserve">       2500 Central Services</t>
  </si>
  <si>
    <t xml:space="preserve">        2200 Instruction </t>
  </si>
  <si>
    <t xml:space="preserve">        2500 Central Services</t>
  </si>
  <si>
    <t>540 Joint Career &amp; Technical Ed. &amp; Vocational Ed. Center</t>
  </si>
  <si>
    <t>2200 Support Services - Instruction</t>
  </si>
  <si>
    <t>2200 Instruction</t>
  </si>
  <si>
    <t>2500 Central Services</t>
  </si>
  <si>
    <t>Structured English Immersion Project - 1071</t>
  </si>
  <si>
    <t>430 Pupil Transportation-ELL Incremental Costs</t>
  </si>
  <si>
    <t>1.  0191  Land and Land Improvements</t>
  </si>
  <si>
    <t>2.  0192  Site Improvements</t>
  </si>
  <si>
    <t>3.  0194  Buildings and Building Improvements</t>
  </si>
  <si>
    <t>4.  0196  Equipment</t>
  </si>
  <si>
    <t>5.  0198  Construction in Progress</t>
  </si>
  <si>
    <t>1450 Gifted Education</t>
  </si>
  <si>
    <t xml:space="preserve">    1700  School Activities</t>
  </si>
  <si>
    <t xml:space="preserve">    4800 Federal Impact Aid</t>
  </si>
  <si>
    <t xml:space="preserve">2100, 2200 Support Services - Students &amp; Instruction </t>
  </si>
  <si>
    <t>Textbooks (Function 1000, Object Code 6642)</t>
  </si>
  <si>
    <t>1.  Classroom Instruction excluding Classroom Supplies</t>
  </si>
  <si>
    <t xml:space="preserve">    2000 Support Services</t>
  </si>
  <si>
    <t xml:space="preserve">        2100 Students </t>
  </si>
  <si>
    <t>5.  All Other Support Services and Operations</t>
  </si>
  <si>
    <t>Actual Expenses for all Gifted Programs:</t>
  </si>
  <si>
    <t>% Increase/ Decrease in Actual</t>
  </si>
  <si>
    <t>PROGRAM 200 ACTUAL</t>
  </si>
  <si>
    <t>E-mail</t>
  </si>
  <si>
    <t xml:space="preserve">     2000 Support Services</t>
  </si>
  <si>
    <t>2700 Student Transportation</t>
  </si>
  <si>
    <t>Tuition Expense (paid to other Arizona schools or districts)</t>
  </si>
  <si>
    <t>2000 Support Services</t>
  </si>
  <si>
    <t>Budget</t>
  </si>
  <si>
    <t>Actual</t>
  </si>
  <si>
    <t>Other Programs (Specify)</t>
  </si>
  <si>
    <t xml:space="preserve">   ____________________</t>
  </si>
  <si>
    <t>1160 ESEA  Title IV - 21st Century Schools</t>
  </si>
  <si>
    <t>1170-1180 ESEA Title V - Promote Informed Parent Choice</t>
  </si>
  <si>
    <t>1190 ESEA  Title III - Limited Eng. &amp; Immigrant Students</t>
  </si>
  <si>
    <t>1200 ESEA Title VII - Indian Education</t>
  </si>
  <si>
    <t>1210 ESEA Title VI - Flexibility and Accountability</t>
  </si>
  <si>
    <t>1260-1270 Vocational Education - Basic Grants</t>
  </si>
  <si>
    <t>1420 Extended School Year - Pupils with Disabilities</t>
  </si>
  <si>
    <t>Interest Earned</t>
  </si>
  <si>
    <t>Additional Classroom Site Project Information</t>
  </si>
  <si>
    <t>Revenues</t>
  </si>
  <si>
    <t>Classroom Site Project</t>
  </si>
  <si>
    <t>Pay</t>
  </si>
  <si>
    <t>TOTAL EXPENSES BY PROJECT</t>
  </si>
  <si>
    <t>CSP Allocation</t>
  </si>
  <si>
    <t>Vocational and Technological Education</t>
  </si>
  <si>
    <t>1240 Workforce Investment Act</t>
  </si>
  <si>
    <t>36.</t>
  </si>
  <si>
    <t>F.</t>
  </si>
  <si>
    <t>Other Programs Subtotal (lines 10-11)</t>
  </si>
  <si>
    <t>Total Expenses (lines 4, 8, 9, and 12)</t>
  </si>
  <si>
    <t>Instructional Improvement Project 1020</t>
  </si>
  <si>
    <t>Beginning Project Balance</t>
  </si>
  <si>
    <t>Instruction</t>
  </si>
  <si>
    <t>Services</t>
  </si>
  <si>
    <t>Support</t>
  </si>
  <si>
    <t>Teacher Compensation Increases</t>
  </si>
  <si>
    <t>Class Size Reduction</t>
  </si>
  <si>
    <t>Total Available (lines 6 and 7)</t>
  </si>
  <si>
    <t>Ending Project Balance  (line 8 minus line 9)</t>
  </si>
  <si>
    <t>Instructional Improvement Project (from page 5, line 5)</t>
  </si>
  <si>
    <t>37.</t>
  </si>
  <si>
    <t>1280 ESEA Title X - Homeless Education</t>
  </si>
  <si>
    <t>Purchased</t>
  </si>
  <si>
    <t xml:space="preserve">Employee  </t>
  </si>
  <si>
    <t>Other</t>
  </si>
  <si>
    <t>1000 Instruction</t>
  </si>
  <si>
    <t>2100 Students</t>
  </si>
  <si>
    <t>2300 General Administration</t>
  </si>
  <si>
    <t>2400 School Administration</t>
  </si>
  <si>
    <t>Additional Instructional Improvement Project Information</t>
  </si>
  <si>
    <t>Total Classroom Site Projects (line 13 &amp; p. 3, lines 13 &amp; 26)</t>
  </si>
  <si>
    <t>Total Revenues (lines 16 and 17)</t>
  </si>
  <si>
    <t>Total Available (lines 15 and 18)</t>
  </si>
  <si>
    <t>A. ENROLLMENT OF GIFTED PUPILS BY GRADE</t>
  </si>
  <si>
    <t>Classroom Site Project (from page 4, line 14)</t>
  </si>
  <si>
    <t xml:space="preserve">    2100  Unrestricted</t>
  </si>
  <si>
    <t xml:space="preserve">    2200  Restricted</t>
  </si>
  <si>
    <t xml:space="preserve">    3900  Revenue for/on Behalf of the School</t>
  </si>
  <si>
    <t xml:space="preserve">    3130-3150  Other Unrestricted</t>
  </si>
  <si>
    <t xml:space="preserve">    3200  Restricted</t>
  </si>
  <si>
    <t xml:space="preserve">    4100, 4300  Unrestricted/Restricted Received Directly from the Federal Government</t>
  </si>
  <si>
    <t xml:space="preserve">    Other Revenue from Intermediate Sources (specify)</t>
  </si>
  <si>
    <t xml:space="preserve">    3110  State Equalization Assistance</t>
  </si>
  <si>
    <t xml:space="preserve">    Other Revenue from State Sources (specify)</t>
  </si>
  <si>
    <t xml:space="preserve">    4900 Revenue for/on Behalf of the School</t>
  </si>
  <si>
    <t xml:space="preserve">    Other Revenue from Federal Sources (specify)</t>
  </si>
  <si>
    <t>CURRENT EXPENSES BY CATEGORY</t>
  </si>
  <si>
    <t>1290 Medicaid Reimbursement</t>
  </si>
  <si>
    <t>1300 Charter School Implementation Project (Stimulus)</t>
  </si>
  <si>
    <t>1410 Early Childhood Block Grant</t>
  </si>
  <si>
    <t>1470-1499 Other State Projects</t>
  </si>
  <si>
    <t>1465 Charter School Stimulus Fund</t>
  </si>
  <si>
    <t>Expenses</t>
  </si>
  <si>
    <t>1.  Non-Federal</t>
  </si>
  <si>
    <t>2.  Federal</t>
  </si>
  <si>
    <t>SUPPLEMENTARY INFORMATION (Cont’d)</t>
  </si>
  <si>
    <t>34.</t>
  </si>
  <si>
    <t>STATE OF ARIZONA</t>
  </si>
  <si>
    <t>SIGNED</t>
  </si>
  <si>
    <t>CHARTER SCHOOL ANNUAL FINANCIAL REPORT</t>
  </si>
  <si>
    <t xml:space="preserve">contain(s) the data for the annual financial report </t>
  </si>
  <si>
    <t>described at left.</t>
  </si>
  <si>
    <t>1000 Schoolwide Project</t>
  </si>
  <si>
    <t xml:space="preserve">       2900 Other Support Services</t>
  </si>
  <si>
    <t xml:space="preserve">     Subtotal (lines 16-26)</t>
  </si>
  <si>
    <t>FEDERAL AND STATE PROJECTS</t>
  </si>
  <si>
    <t xml:space="preserve">        2900 Other Support Services</t>
  </si>
  <si>
    <t>Remedial Education</t>
  </si>
  <si>
    <t>Career Education</t>
  </si>
  <si>
    <t>610 School-Sponsored Cocurricular Activities</t>
  </si>
  <si>
    <t>620 School-Sponsored Athletics</t>
  </si>
  <si>
    <t>630, 700, 800, 900 Other Programs</t>
  </si>
  <si>
    <t>3.     Total (lines 1 and 2)</t>
  </si>
  <si>
    <t xml:space="preserve"> 4.    Total Duplicated Enrollment</t>
  </si>
  <si>
    <t xml:space="preserve">   Total</t>
  </si>
  <si>
    <t>Charter Name</t>
  </si>
  <si>
    <t>d.b.a. (as applicable)</t>
  </si>
  <si>
    <t>CTDS NUMBER</t>
  </si>
  <si>
    <t>1310-1399 Other Federal Projects</t>
  </si>
  <si>
    <t>35.</t>
  </si>
  <si>
    <t xml:space="preserve">  COUNTY</t>
  </si>
  <si>
    <t xml:space="preserve">Employee </t>
  </si>
  <si>
    <t>Totals</t>
  </si>
  <si>
    <t>Salaries</t>
  </si>
  <si>
    <t>Benefits</t>
  </si>
  <si>
    <t>Classroom Site Project 1011 - Base Salary</t>
  </si>
  <si>
    <t>2100 Support Services - Students</t>
  </si>
  <si>
    <t>Program 100 Subtotal (lines 1-3)</t>
  </si>
  <si>
    <t>Program 200 Subtotal (lines 5-7)</t>
  </si>
  <si>
    <t>Other Programs Subtotal (lines 9-11)</t>
  </si>
  <si>
    <t>Total Expenses (lines 4, 8, and 12)</t>
  </si>
  <si>
    <t>Classroom Site Project 1012 - Performance Pay</t>
  </si>
  <si>
    <t>Program 100 Subtotal (lines 14-16)</t>
  </si>
  <si>
    <t>Program 200 Subtotal (lines 18-20)</t>
  </si>
  <si>
    <t>Other Programs Subtotal (lines 22-24)</t>
  </si>
  <si>
    <t>Total Expenses (lines 17, 21, and 25)</t>
  </si>
  <si>
    <t>Purchased Services 6300, 6400, 6500</t>
  </si>
  <si>
    <t>Employee Benefits</t>
  </si>
  <si>
    <t>Supplies</t>
  </si>
  <si>
    <t>Classroom Site Project 1013 - Other</t>
  </si>
  <si>
    <t>CHARTER SCHOOL</t>
  </si>
  <si>
    <t>COUNTY</t>
  </si>
  <si>
    <t>TITLE</t>
  </si>
  <si>
    <t xml:space="preserve"> </t>
  </si>
  <si>
    <t>ACTUAL</t>
  </si>
  <si>
    <t>1000 Local Sources</t>
  </si>
  <si>
    <t>1.</t>
  </si>
  <si>
    <t>2.</t>
  </si>
  <si>
    <t>3.</t>
  </si>
  <si>
    <t>4.</t>
  </si>
  <si>
    <t>5.</t>
  </si>
  <si>
    <t>6.</t>
  </si>
  <si>
    <t>7.</t>
  </si>
  <si>
    <t>2000 Intermediate Sources</t>
  </si>
  <si>
    <t>8.</t>
  </si>
  <si>
    <t>9.</t>
  </si>
  <si>
    <t>10.</t>
  </si>
  <si>
    <t>11.</t>
  </si>
  <si>
    <t>12.</t>
  </si>
  <si>
    <t>3000 State Sources</t>
  </si>
  <si>
    <t>13.</t>
  </si>
  <si>
    <t>14.</t>
  </si>
  <si>
    <t>15.</t>
  </si>
  <si>
    <t>16.</t>
  </si>
  <si>
    <t>17.</t>
  </si>
  <si>
    <t>4000 Federal Sources</t>
  </si>
  <si>
    <t>18.</t>
  </si>
  <si>
    <t>19.</t>
  </si>
  <si>
    <t>20.</t>
  </si>
  <si>
    <t>21.</t>
  </si>
  <si>
    <t>22.</t>
  </si>
  <si>
    <t>23.</t>
  </si>
  <si>
    <t>24.</t>
  </si>
  <si>
    <t>TOTAL</t>
  </si>
  <si>
    <t>6300, 6400, 6500</t>
  </si>
  <si>
    <t>BUDGET</t>
  </si>
  <si>
    <t>100 Regular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</si>
  <si>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</si>
  <si>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</si>
  <si>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</si>
  <si>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</si>
  <si>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</si>
  <si>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200 Special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</si>
  <si>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</si>
  <si>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</si>
  <si>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</si>
  <si>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</si>
  <si>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</si>
  <si>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400 Pupil Transportation</t>
  </si>
  <si>
    <t>530 Dropout Prevention Programs</t>
  </si>
  <si>
    <t>SUPPLEMENTARY INFORMATION</t>
  </si>
  <si>
    <t>A.</t>
  </si>
  <si>
    <t>$</t>
  </si>
  <si>
    <t>Number of Schools</t>
  </si>
  <si>
    <t>Actual Days in Session</t>
  </si>
  <si>
    <t>G.</t>
  </si>
  <si>
    <t>B.</t>
  </si>
  <si>
    <t>CASH BALANCE</t>
  </si>
  <si>
    <t>C.</t>
  </si>
  <si>
    <t>AUDIT SERVICES</t>
  </si>
  <si>
    <t>D.</t>
  </si>
  <si>
    <t>CAPITAL ACQUISITIONS</t>
  </si>
  <si>
    <t>Areas of Identification</t>
  </si>
  <si>
    <t>GRADE</t>
  </si>
  <si>
    <t>K</t>
  </si>
  <si>
    <t xml:space="preserve"> 1. Quantitative Reasoning</t>
  </si>
  <si>
    <t xml:space="preserve"> 2. Verbal Reasoning</t>
  </si>
  <si>
    <t xml:space="preserve"> 3. Non-Verbal Reasoning</t>
  </si>
  <si>
    <t>REVENUE</t>
  </si>
  <si>
    <t>FEDERAL PROJECTS</t>
  </si>
  <si>
    <t>1220 IDEA, Part B</t>
  </si>
  <si>
    <t>1230 Johnson-O'Malley</t>
  </si>
  <si>
    <t>1250 AEA - Adult Education</t>
  </si>
  <si>
    <t>STATE PROJECTS</t>
  </si>
  <si>
    <t>1400 Vocational Education</t>
  </si>
  <si>
    <t>1430 Chemical Abuse Prevention Programs</t>
  </si>
  <si>
    <t>1435 Academic Contests</t>
  </si>
  <si>
    <t>25.</t>
  </si>
  <si>
    <t>26.</t>
  </si>
  <si>
    <t>27.</t>
  </si>
  <si>
    <t>1460 Environmental Special Plate</t>
  </si>
  <si>
    <t>28.</t>
  </si>
  <si>
    <t>29.</t>
  </si>
  <si>
    <t>30.</t>
  </si>
  <si>
    <t>31.</t>
  </si>
  <si>
    <t>EXPENSES</t>
  </si>
  <si>
    <t>9-12</t>
  </si>
  <si>
    <t>32.</t>
  </si>
  <si>
    <t>33.</t>
  </si>
  <si>
    <t>E.</t>
  </si>
  <si>
    <t>K-8</t>
  </si>
  <si>
    <t>BEGINNING</t>
  </si>
  <si>
    <t>BALANCE</t>
  </si>
  <si>
    <t>CAPITAL</t>
  </si>
  <si>
    <t>ACQUISITIONS</t>
  </si>
  <si>
    <t>ENDING</t>
  </si>
  <si>
    <t>INDIRECT</t>
  </si>
  <si>
    <t>COSTS</t>
  </si>
  <si>
    <t>REVERSIONS</t>
  </si>
  <si>
    <t xml:space="preserve">    1420  Transportation Fees from Other Arizona Schools or Districts</t>
  </si>
  <si>
    <t xml:space="preserve">    1500  Earnings on Investments</t>
  </si>
  <si>
    <t xml:space="preserve">    Other Revenue from Local Sources (specify)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</si>
</sst>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d\,\ yyyy"/>
    <numFmt numFmtId="169" formatCode="0_);\(0\)"/>
    <numFmt numFmtId="170" formatCode="0.0"/>
    <numFmt numFmtId="171" formatCode="0."/>
    <numFmt numFmtId="172" formatCode="0.0%"/>
    <numFmt numFmtId="173" formatCode="m/d"/>
    <numFmt numFmtId="174" formatCode="0_)"/>
    <numFmt numFmtId="175" formatCode="0.0%;[Red]\-0.0%"/>
    <numFmt numFmtId="176" formatCode="General;[Red]\-General"/>
    <numFmt numFmtId="177" formatCode="#,##0.000_);\(#,##0.000\)"/>
    <numFmt numFmtId="178" formatCode="#,##0.0_);\(#,##0.0\)"/>
    <numFmt numFmtId="179" formatCode="0.00_);\(0.00\)"/>
    <numFmt numFmtId="180" formatCode="#,##0.000"/>
    <numFmt numFmtId="181" formatCode="&quot;$&quot;#,##0"/>
    <numFmt numFmtId="182" formatCode="#,##0.0000_);[Red]\(#,##0.0000\)"/>
    <numFmt numFmtId="183" formatCode="#,##0.000_);[Red]\(#,##0.000\)"/>
    <numFmt numFmtId="184" formatCode="0.0000"/>
    <numFmt numFmtId="185" formatCode="#,##0.0"/>
    <numFmt numFmtId="186" formatCode="#,##0.0000_);\(#,##0.0000\)"/>
    <numFmt numFmtId="187" formatCode="#,##0.0000"/>
    <numFmt numFmtId="188" formatCode="\(0E+00\);\(\-0E+00\)"/>
    <numFmt numFmtId="189" formatCode="0.00_);[Red]\(0.00\)"/>
    <numFmt numFmtId="190" formatCode="_([$$-409]* #,##0.00_);_([$$-409]* \(#,##0.00\);_([$$-409]* &quot;-&quot;??_);_(@_)"/>
    <numFmt numFmtId="191" formatCode="&quot;$&quot;#,##0.00"/>
    <numFmt numFmtId="192" formatCode="_(&quot;$&quot;* #,##0_);_(&quot;$&quot;* \(#,##0\);_(&quot;$&quot;*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2]\ #,##0.00_);[Red]\([$€-2]\ #,##0.00\)"/>
  </numFmts>
  <fonts count="40">
    <font>
      <sz val="10"/>
      <name val="Times New Roman"/>
      <family val="0"/>
    </font>
    <font>
      <b/>
      <sz val="10"/>
      <name val="Times New Roman"/>
      <family val="1"/>
    </font>
    <font>
      <b/>
      <sz val="9"/>
      <name val="Times New Roman"/>
      <family val="1"/>
    </font>
    <font>
      <sz val="9"/>
      <name val="Times New Roman"/>
      <family val="1"/>
    </font>
    <font>
      <b/>
      <sz val="10"/>
      <name val="Arial"/>
      <family val="2"/>
    </font>
    <font>
      <sz val="10"/>
      <name val="Arial"/>
      <family val="2"/>
    </font>
    <font>
      <u val="single"/>
      <sz val="9"/>
      <color indexed="36"/>
      <name val="Arial"/>
      <family val="2"/>
    </font>
    <font>
      <u val="single"/>
      <sz val="9"/>
      <color indexed="12"/>
      <name val="Arial"/>
      <family val="2"/>
    </font>
    <font>
      <sz val="10"/>
      <color indexed="8"/>
      <name val="Times New Roman"/>
      <family val="1"/>
    </font>
    <font>
      <sz val="10"/>
      <color indexed="9"/>
      <name val="Times New Roman"/>
      <family val="1"/>
    </font>
    <font>
      <b/>
      <sz val="14"/>
      <name val="Times New Roman"/>
      <family val="1"/>
    </font>
    <font>
      <b/>
      <sz val="12"/>
      <name val="Times New Roman"/>
      <family val="1"/>
    </font>
    <font>
      <sz val="10"/>
      <name val="Calibri"/>
      <family val="2"/>
    </font>
    <font>
      <sz val="10"/>
      <color indexed="12"/>
      <name val="Times New Roman"/>
      <family val="1"/>
    </font>
    <font>
      <b/>
      <u val="single"/>
      <sz val="10"/>
      <name val="Times New Roman"/>
      <family val="1"/>
    </font>
    <font>
      <sz val="8"/>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Times New Roman"/>
      <family val="1"/>
    </font>
    <font>
      <b/>
      <sz val="10"/>
      <color indexed="12"/>
      <name val="Times New Roman"/>
      <family val="1"/>
    </font>
    <font>
      <u val="single"/>
      <sz val="10"/>
      <color indexed="12"/>
      <name val="Times New Roman"/>
      <family val="1"/>
    </font>
    <font>
      <b/>
      <sz val="10"/>
      <color indexed="8"/>
      <name val="Times New Roman"/>
      <family val="1"/>
    </font>
    <font>
      <sz val="12"/>
      <color indexed="8"/>
      <name val="Times New Roman"/>
      <family val="0"/>
    </font>
    <font>
      <sz val="8"/>
      <name val="Verdana"/>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style="medium"/>
      <bottom style="double"/>
    </border>
    <border>
      <left style="thin"/>
      <right style="thin"/>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5"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697">
    <xf numFmtId="0" fontId="0" fillId="0" borderId="0" xfId="0"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horizontal="center"/>
    </xf>
    <xf numFmtId="0" fontId="0" fillId="0" borderId="0" xfId="0" applyFont="1" applyBorder="1" applyAlignment="1">
      <alignment horizontal="centerContinuous"/>
    </xf>
    <xf numFmtId="37" fontId="0" fillId="0" borderId="10" xfId="0" applyNumberFormat="1" applyFont="1" applyBorder="1" applyAlignment="1" applyProtection="1">
      <alignment/>
      <protection locked="0"/>
    </xf>
    <xf numFmtId="37" fontId="0" fillId="0" borderId="11" xfId="0" applyNumberFormat="1" applyFont="1" applyBorder="1" applyAlignment="1" applyProtection="1">
      <alignment/>
      <protection locked="0"/>
    </xf>
    <xf numFmtId="37" fontId="0" fillId="0" borderId="12" xfId="0" applyNumberFormat="1" applyFont="1" applyBorder="1" applyAlignment="1">
      <alignment/>
    </xf>
    <xf numFmtId="0" fontId="0" fillId="0" borderId="0" xfId="0" applyFont="1" applyBorder="1" applyAlignment="1">
      <alignment horizontal="right"/>
    </xf>
    <xf numFmtId="37" fontId="0" fillId="0" borderId="13" xfId="0" applyNumberFormat="1" applyFont="1" applyBorder="1" applyAlignment="1" applyProtection="1">
      <alignment/>
      <protection locked="0"/>
    </xf>
    <xf numFmtId="37" fontId="0" fillId="0" borderId="14" xfId="0" applyNumberFormat="1" applyFont="1" applyBorder="1" applyAlignment="1" applyProtection="1">
      <alignment/>
      <protection locked="0"/>
    </xf>
    <xf numFmtId="37" fontId="0" fillId="0" borderId="15" xfId="0" applyNumberFormat="1" applyFont="1" applyBorder="1" applyAlignment="1">
      <alignment/>
    </xf>
    <xf numFmtId="0" fontId="0" fillId="0" borderId="0"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37" fontId="0" fillId="0" borderId="13" xfId="0" applyNumberFormat="1" applyFont="1" applyBorder="1" applyAlignment="1">
      <alignment/>
    </xf>
    <xf numFmtId="49" fontId="0" fillId="0" borderId="0" xfId="0" applyNumberFormat="1" applyFont="1" applyAlignment="1">
      <alignment/>
    </xf>
    <xf numFmtId="37" fontId="0" fillId="0" borderId="16" xfId="0" applyNumberFormat="1" applyFont="1" applyBorder="1" applyAlignment="1" applyProtection="1">
      <alignment/>
      <protection locked="0"/>
    </xf>
    <xf numFmtId="37" fontId="0" fillId="0" borderId="16" xfId="0" applyNumberFormat="1" applyFont="1" applyBorder="1" applyAlignment="1">
      <alignment/>
    </xf>
    <xf numFmtId="49" fontId="0" fillId="0" borderId="0" xfId="0" applyNumberFormat="1" applyFont="1" applyBorder="1" applyAlignment="1">
      <alignment/>
    </xf>
    <xf numFmtId="37" fontId="0" fillId="0" borderId="17" xfId="0" applyNumberFormat="1" applyFont="1" applyBorder="1" applyAlignment="1">
      <alignment/>
    </xf>
    <xf numFmtId="0" fontId="0" fillId="0" borderId="14"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37" fontId="0" fillId="24" borderId="13" xfId="0" applyNumberFormat="1" applyFont="1" applyFill="1" applyBorder="1" applyAlignment="1">
      <alignment/>
    </xf>
    <xf numFmtId="37" fontId="0" fillId="24" borderId="14" xfId="0" applyNumberFormat="1" applyFont="1" applyFill="1" applyBorder="1" applyAlignment="1">
      <alignment/>
    </xf>
    <xf numFmtId="0" fontId="0" fillId="0" borderId="0" xfId="0" applyFont="1" applyAlignment="1">
      <alignment horizontal="left"/>
    </xf>
    <xf numFmtId="0" fontId="0" fillId="0" borderId="0" xfId="0" applyFont="1" applyBorder="1" applyAlignment="1" applyProtection="1">
      <alignment/>
      <protection/>
    </xf>
    <xf numFmtId="0" fontId="1" fillId="0" borderId="13" xfId="0" applyFont="1" applyBorder="1" applyAlignment="1">
      <alignment horizontal="center"/>
    </xf>
    <xf numFmtId="0" fontId="3" fillId="0" borderId="0" xfId="0" applyFont="1" applyBorder="1" applyAlignment="1" applyProtection="1">
      <alignment horizontal="centerContinuous"/>
      <protection/>
    </xf>
    <xf numFmtId="0" fontId="3" fillId="0" borderId="0" xfId="0" applyFont="1" applyBorder="1" applyAlignment="1" applyProtection="1">
      <alignment/>
      <protection/>
    </xf>
    <xf numFmtId="0" fontId="2" fillId="0" borderId="0" xfId="0" applyFont="1" applyBorder="1" applyAlignment="1" applyProtection="1">
      <alignment horizontal="center"/>
      <protection/>
    </xf>
    <xf numFmtId="3" fontId="3" fillId="0" borderId="0" xfId="0" applyNumberFormat="1" applyFont="1" applyBorder="1" applyAlignment="1" applyProtection="1">
      <alignment/>
      <protection/>
    </xf>
    <xf numFmtId="37" fontId="0" fillId="0" borderId="0" xfId="0" applyNumberFormat="1" applyFont="1" applyBorder="1" applyAlignment="1">
      <alignment/>
    </xf>
    <xf numFmtId="37" fontId="0" fillId="0" borderId="13" xfId="0" applyNumberFormat="1" applyFont="1" applyBorder="1" applyAlignment="1" applyProtection="1">
      <alignment/>
      <protection/>
    </xf>
    <xf numFmtId="37" fontId="0" fillId="0" borderId="21" xfId="0" applyNumberFormat="1" applyFont="1" applyBorder="1" applyAlignment="1">
      <alignment/>
    </xf>
    <xf numFmtId="0" fontId="1"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horizontal="right"/>
    </xf>
    <xf numFmtId="0" fontId="0" fillId="0" borderId="0" xfId="0" applyBorder="1" applyAlignment="1" applyProtection="1">
      <alignment/>
      <protection/>
    </xf>
    <xf numFmtId="0" fontId="0" fillId="0" borderId="0" xfId="0" applyBorder="1" applyAlignment="1" applyProtection="1">
      <alignment/>
      <protection/>
    </xf>
    <xf numFmtId="49" fontId="0" fillId="0" borderId="10" xfId="0" applyNumberFormat="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Continuous"/>
      <protection/>
    </xf>
    <xf numFmtId="0" fontId="0" fillId="0" borderId="22" xfId="0" applyBorder="1" applyAlignment="1" applyProtection="1">
      <alignment/>
      <protection/>
    </xf>
    <xf numFmtId="0" fontId="0" fillId="0" borderId="22" xfId="0" applyBorder="1" applyAlignment="1" applyProtection="1">
      <alignment horizontal="centerContinuous"/>
      <protection/>
    </xf>
    <xf numFmtId="0" fontId="0" fillId="0" borderId="22"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centerContinuous"/>
      <protection/>
    </xf>
    <xf numFmtId="0" fontId="0" fillId="0" borderId="0" xfId="0" applyAlignment="1" applyProtection="1">
      <alignment horizontal="justify" vertical="top" wrapText="1"/>
      <protection/>
    </xf>
    <xf numFmtId="0" fontId="0" fillId="0" borderId="0" xfId="0" applyBorder="1" applyAlignment="1">
      <alignment/>
    </xf>
    <xf numFmtId="0" fontId="0" fillId="0" borderId="22" xfId="0" applyBorder="1" applyAlignment="1">
      <alignment/>
    </xf>
    <xf numFmtId="0" fontId="0" fillId="0" borderId="0" xfId="0" applyBorder="1" applyAlignment="1">
      <alignment/>
    </xf>
    <xf numFmtId="49" fontId="0" fillId="0" borderId="0" xfId="0" applyNumberFormat="1" applyBorder="1" applyAlignment="1" applyProtection="1">
      <alignment horizontal="right"/>
      <protection/>
    </xf>
    <xf numFmtId="49" fontId="0" fillId="0" borderId="0" xfId="0" applyNumberFormat="1" applyFont="1" applyAlignment="1">
      <alignment horizontal="right"/>
    </xf>
    <xf numFmtId="168" fontId="0" fillId="0" borderId="10" xfId="0" applyNumberFormat="1" applyBorder="1" applyAlignment="1" applyProtection="1">
      <alignment horizontal="center"/>
      <protection locked="0"/>
    </xf>
    <xf numFmtId="37" fontId="0" fillId="0" borderId="13" xfId="0" applyNumberFormat="1" applyFont="1" applyFill="1" applyBorder="1" applyAlignment="1" applyProtection="1">
      <alignment/>
      <protection locked="0"/>
    </xf>
    <xf numFmtId="37" fontId="0" fillId="0" borderId="16" xfId="0" applyNumberFormat="1" applyFont="1" applyFill="1" applyBorder="1" applyAlignment="1" applyProtection="1">
      <alignment/>
      <protection locked="0"/>
    </xf>
    <xf numFmtId="37" fontId="0" fillId="0" borderId="15" xfId="0" applyNumberFormat="1" applyFont="1" applyFill="1" applyBorder="1" applyAlignment="1">
      <alignment/>
    </xf>
    <xf numFmtId="0" fontId="4" fillId="0" borderId="0" xfId="0" applyFont="1" applyBorder="1" applyAlignment="1" applyProtection="1">
      <alignment horizontal="left"/>
      <protection/>
    </xf>
    <xf numFmtId="0" fontId="0" fillId="0" borderId="0" xfId="0" applyFont="1" applyAlignment="1">
      <alignment vertical="top"/>
    </xf>
    <xf numFmtId="0" fontId="0" fillId="0" borderId="0" xfId="0" applyFont="1" applyAlignment="1" quotePrefix="1">
      <alignment/>
    </xf>
    <xf numFmtId="37" fontId="0" fillId="0" borderId="15" xfId="0" applyNumberFormat="1" applyFont="1" applyFill="1" applyBorder="1" applyAlignment="1" applyProtection="1">
      <alignment/>
      <protection/>
    </xf>
    <xf numFmtId="0" fontId="0" fillId="0" borderId="0" xfId="57" applyFont="1" applyAlignment="1" applyProtection="1">
      <alignment horizontal="justify" wrapText="1"/>
      <protection/>
    </xf>
    <xf numFmtId="0" fontId="0" fillId="0" borderId="22" xfId="0" applyFont="1" applyBorder="1" applyAlignment="1">
      <alignment/>
    </xf>
    <xf numFmtId="37" fontId="0" fillId="0" borderId="20" xfId="0" applyNumberFormat="1" applyFont="1" applyBorder="1" applyAlignment="1" applyProtection="1">
      <alignment/>
      <protection locked="0"/>
    </xf>
    <xf numFmtId="37" fontId="0" fillId="0" borderId="20" xfId="0" applyNumberFormat="1" applyFont="1" applyBorder="1" applyAlignment="1" applyProtection="1">
      <alignment/>
      <protection/>
    </xf>
    <xf numFmtId="0" fontId="0" fillId="0" borderId="18" xfId="0" applyFont="1" applyBorder="1" applyAlignment="1">
      <alignment/>
    </xf>
    <xf numFmtId="0" fontId="0" fillId="0" borderId="23"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6" xfId="0" applyFont="1" applyBorder="1" applyAlignment="1">
      <alignment/>
    </xf>
    <xf numFmtId="0" fontId="1" fillId="0" borderId="18" xfId="0" applyFont="1" applyBorder="1" applyAlignment="1">
      <alignment/>
    </xf>
    <xf numFmtId="0" fontId="0" fillId="0" borderId="24" xfId="0" applyFont="1" applyBorder="1" applyAlignment="1">
      <alignment/>
    </xf>
    <xf numFmtId="49" fontId="0" fillId="0" borderId="22" xfId="0" applyNumberFormat="1" applyFont="1" applyBorder="1" applyAlignment="1">
      <alignment horizontal="right"/>
    </xf>
    <xf numFmtId="49" fontId="0" fillId="0" borderId="0" xfId="0" applyNumberFormat="1" applyFont="1" applyAlignment="1">
      <alignment horizontal="left"/>
    </xf>
    <xf numFmtId="37" fontId="0" fillId="0" borderId="26" xfId="0" applyNumberFormat="1" applyFont="1" applyBorder="1" applyAlignment="1" applyProtection="1">
      <alignment/>
      <protection locked="0"/>
    </xf>
    <xf numFmtId="0" fontId="0" fillId="0" borderId="25" xfId="0" applyFont="1" applyBorder="1" applyAlignment="1">
      <alignment/>
    </xf>
    <xf numFmtId="49" fontId="0" fillId="0" borderId="26" xfId="0" applyNumberFormat="1" applyFont="1" applyBorder="1" applyAlignment="1">
      <alignment horizontal="right"/>
    </xf>
    <xf numFmtId="0" fontId="0" fillId="0" borderId="27" xfId="0" applyFont="1" applyBorder="1" applyAlignment="1">
      <alignment/>
    </xf>
    <xf numFmtId="0" fontId="0" fillId="0" borderId="11" xfId="0" applyFont="1" applyBorder="1" applyAlignment="1">
      <alignment/>
    </xf>
    <xf numFmtId="49" fontId="0" fillId="0" borderId="28" xfId="0" applyNumberFormat="1" applyFont="1" applyBorder="1" applyAlignment="1">
      <alignment horizontal="right"/>
    </xf>
    <xf numFmtId="37" fontId="0" fillId="20" borderId="13" xfId="0" applyNumberFormat="1" applyFont="1" applyFill="1" applyBorder="1" applyAlignment="1" applyProtection="1">
      <alignment/>
      <protection/>
    </xf>
    <xf numFmtId="37" fontId="0" fillId="0" borderId="13" xfId="0" applyNumberFormat="1" applyFont="1" applyFill="1" applyBorder="1" applyAlignment="1">
      <alignment/>
    </xf>
    <xf numFmtId="0" fontId="1" fillId="0" borderId="0" xfId="0" applyFont="1" applyBorder="1" applyAlignment="1" applyProtection="1">
      <alignment horizontal="center"/>
      <protection/>
    </xf>
    <xf numFmtId="0" fontId="1" fillId="0" borderId="0" xfId="0" applyFont="1" applyBorder="1" applyAlignment="1" applyProtection="1">
      <alignment horizontal="right"/>
      <protection/>
    </xf>
    <xf numFmtId="0" fontId="1" fillId="0" borderId="0" xfId="57" applyFont="1" applyProtection="1">
      <alignment/>
      <protection/>
    </xf>
    <xf numFmtId="0" fontId="0" fillId="0" borderId="0" xfId="57" applyFont="1" applyProtection="1">
      <alignment/>
      <protection/>
    </xf>
    <xf numFmtId="0" fontId="0" fillId="0" borderId="10" xfId="57" applyFont="1" applyBorder="1" applyAlignment="1" applyProtection="1">
      <alignment horizontal="center"/>
      <protection/>
    </xf>
    <xf numFmtId="0" fontId="0" fillId="0" borderId="0" xfId="57" applyFont="1" applyBorder="1" applyAlignment="1" applyProtection="1">
      <alignment horizontal="left"/>
      <protection/>
    </xf>
    <xf numFmtId="37" fontId="0" fillId="0" borderId="20" xfId="57" applyNumberFormat="1" applyFont="1" applyBorder="1" applyProtection="1">
      <alignment/>
      <protection/>
    </xf>
    <xf numFmtId="0" fontId="1" fillId="0" borderId="0" xfId="57" applyFont="1" applyAlignment="1" applyProtection="1">
      <alignment horizontal="right"/>
      <protection/>
    </xf>
    <xf numFmtId="0" fontId="0" fillId="0" borderId="0" xfId="57" applyFont="1" applyBorder="1" applyAlignment="1" applyProtection="1">
      <alignment horizontal="center"/>
      <protection/>
    </xf>
    <xf numFmtId="49" fontId="0" fillId="0" borderId="10" xfId="57" applyNumberFormat="1" applyFont="1" applyBorder="1" applyAlignment="1" applyProtection="1">
      <alignment horizontal="center"/>
      <protection/>
    </xf>
    <xf numFmtId="0" fontId="0" fillId="0" borderId="0" xfId="57" applyFont="1" applyBorder="1" applyAlignment="1" applyProtection="1">
      <alignment horizontal="centerContinuous"/>
      <protection/>
    </xf>
    <xf numFmtId="0" fontId="0" fillId="0" borderId="0" xfId="57" applyFont="1" applyBorder="1" applyProtection="1">
      <alignment/>
      <protection/>
    </xf>
    <xf numFmtId="0" fontId="0" fillId="0" borderId="18" xfId="57" applyFont="1" applyBorder="1" applyAlignment="1" applyProtection="1">
      <alignment horizontal="centerContinuous"/>
      <protection/>
    </xf>
    <xf numFmtId="0" fontId="0" fillId="0" borderId="23" xfId="57" applyFont="1" applyBorder="1" applyAlignment="1" applyProtection="1">
      <alignment horizontal="centerContinuous"/>
      <protection/>
    </xf>
    <xf numFmtId="0" fontId="0" fillId="0" borderId="19" xfId="57" applyFont="1" applyBorder="1" applyAlignment="1" applyProtection="1">
      <alignment horizontal="centerContinuous"/>
      <protection/>
    </xf>
    <xf numFmtId="0" fontId="0" fillId="0" borderId="14" xfId="57" applyFont="1" applyBorder="1" applyAlignment="1" applyProtection="1">
      <alignment horizontal="centerContinuous"/>
      <protection/>
    </xf>
    <xf numFmtId="0" fontId="0" fillId="0" borderId="18" xfId="57" applyFont="1" applyBorder="1" applyAlignment="1" applyProtection="1">
      <alignment horizontal="center"/>
      <protection/>
    </xf>
    <xf numFmtId="0" fontId="1" fillId="0" borderId="24" xfId="57" applyFont="1" applyFill="1" applyBorder="1" applyProtection="1">
      <alignment/>
      <protection/>
    </xf>
    <xf numFmtId="0" fontId="0" fillId="0" borderId="22" xfId="57" applyFont="1" applyBorder="1" applyProtection="1">
      <alignment/>
      <protection/>
    </xf>
    <xf numFmtId="0" fontId="0" fillId="0" borderId="29" xfId="57" applyFont="1" applyBorder="1" applyAlignment="1" applyProtection="1">
      <alignment horizontal="center"/>
      <protection/>
    </xf>
    <xf numFmtId="0" fontId="0" fillId="0" borderId="24" xfId="57" applyFont="1" applyBorder="1" applyAlignment="1" applyProtection="1">
      <alignment horizontal="center"/>
      <protection/>
    </xf>
    <xf numFmtId="0" fontId="0" fillId="0" borderId="25" xfId="57" applyFont="1" applyBorder="1" applyProtection="1">
      <alignment/>
      <protection/>
    </xf>
    <xf numFmtId="0" fontId="0" fillId="0" borderId="10" xfId="57" applyFont="1" applyBorder="1" applyProtection="1">
      <alignment/>
      <protection/>
    </xf>
    <xf numFmtId="0" fontId="0" fillId="0" borderId="26" xfId="57" applyFont="1" applyBorder="1" applyProtection="1">
      <alignment/>
      <protection/>
    </xf>
    <xf numFmtId="0" fontId="0" fillId="0" borderId="20" xfId="57" applyFont="1" applyBorder="1" applyAlignment="1" applyProtection="1">
      <alignment horizontal="center"/>
      <protection/>
    </xf>
    <xf numFmtId="0" fontId="0" fillId="0" borderId="25" xfId="57" applyFont="1" applyBorder="1" applyAlignment="1" applyProtection="1">
      <alignment horizontal="center"/>
      <protection/>
    </xf>
    <xf numFmtId="0" fontId="1" fillId="0" borderId="24" xfId="57" applyFont="1" applyBorder="1" applyProtection="1">
      <alignment/>
      <protection/>
    </xf>
    <xf numFmtId="0" fontId="0" fillId="0" borderId="24" xfId="57" applyFont="1" applyBorder="1" applyProtection="1">
      <alignment/>
      <protection/>
    </xf>
    <xf numFmtId="171" fontId="0" fillId="0" borderId="0" xfId="57" applyNumberFormat="1" applyFont="1" applyBorder="1" applyProtection="1">
      <alignment/>
      <protection/>
    </xf>
    <xf numFmtId="38" fontId="0" fillId="0" borderId="20" xfId="57" applyNumberFormat="1" applyFont="1" applyBorder="1" applyAlignment="1" applyProtection="1">
      <alignment/>
      <protection locked="0"/>
    </xf>
    <xf numFmtId="49" fontId="0" fillId="0" borderId="0" xfId="57" applyNumberFormat="1" applyFont="1" applyAlignment="1" applyProtection="1">
      <alignment horizontal="justify" wrapText="1"/>
      <protection/>
    </xf>
    <xf numFmtId="171" fontId="0" fillId="0" borderId="10" xfId="57" applyNumberFormat="1" applyFont="1" applyBorder="1" applyProtection="1">
      <alignment/>
      <protection/>
    </xf>
    <xf numFmtId="38" fontId="0" fillId="0" borderId="20" xfId="57" applyNumberFormat="1" applyFont="1" applyBorder="1" applyAlignment="1" applyProtection="1">
      <alignment/>
      <protection/>
    </xf>
    <xf numFmtId="49" fontId="0" fillId="0" borderId="0" xfId="57" applyNumberFormat="1" applyFont="1" applyProtection="1">
      <alignment/>
      <protection/>
    </xf>
    <xf numFmtId="37" fontId="0" fillId="0" borderId="13" xfId="57" applyNumberFormat="1" applyFont="1" applyFill="1" applyBorder="1" applyProtection="1">
      <alignment/>
      <protection locked="0"/>
    </xf>
    <xf numFmtId="37" fontId="0" fillId="0" borderId="13" xfId="57" applyNumberFormat="1" applyFont="1" applyBorder="1" applyProtection="1">
      <alignment/>
      <protection locked="0"/>
    </xf>
    <xf numFmtId="37" fontId="0" fillId="0" borderId="13" xfId="57" applyNumberFormat="1" applyFont="1" applyBorder="1" applyProtection="1">
      <alignment/>
      <protection/>
    </xf>
    <xf numFmtId="37" fontId="0" fillId="0" borderId="13" xfId="57" applyNumberFormat="1" applyFont="1" applyFill="1" applyBorder="1" applyProtection="1">
      <alignment/>
      <protection/>
    </xf>
    <xf numFmtId="0" fontId="0" fillId="0" borderId="0" xfId="57" applyFont="1" applyBorder="1" applyProtection="1">
      <alignment/>
      <protection locked="0"/>
    </xf>
    <xf numFmtId="171" fontId="0" fillId="0" borderId="10" xfId="57" applyNumberFormat="1" applyFont="1" applyFill="1" applyBorder="1" applyProtection="1">
      <alignment/>
      <protection/>
    </xf>
    <xf numFmtId="171" fontId="0" fillId="0" borderId="0" xfId="57" applyNumberFormat="1" applyFont="1" applyFill="1" applyBorder="1" applyProtection="1">
      <alignment/>
      <protection/>
    </xf>
    <xf numFmtId="37" fontId="0" fillId="0" borderId="20" xfId="57" applyNumberFormat="1" applyFont="1" applyBorder="1" applyAlignment="1" applyProtection="1">
      <alignment/>
      <protection locked="0"/>
    </xf>
    <xf numFmtId="37" fontId="0" fillId="0" borderId="20" xfId="57" applyNumberFormat="1" applyFont="1" applyBorder="1" applyAlignment="1" applyProtection="1">
      <alignment/>
      <protection/>
    </xf>
    <xf numFmtId="37" fontId="0" fillId="0" borderId="20" xfId="57" applyNumberFormat="1" applyFont="1" applyFill="1" applyBorder="1" applyProtection="1">
      <alignment/>
      <protection/>
    </xf>
    <xf numFmtId="38" fontId="0" fillId="0" borderId="0" xfId="57" applyNumberFormat="1" applyFont="1" applyFill="1" applyBorder="1" applyProtection="1">
      <alignment/>
      <protection/>
    </xf>
    <xf numFmtId="38" fontId="0" fillId="0" borderId="0" xfId="57" applyNumberFormat="1" applyFont="1" applyBorder="1" applyProtection="1">
      <alignment/>
      <protection/>
    </xf>
    <xf numFmtId="172" fontId="0" fillId="0" borderId="0" xfId="57" applyNumberFormat="1" applyFont="1" applyFill="1" applyBorder="1" applyAlignment="1" applyProtection="1">
      <alignment/>
      <protection/>
    </xf>
    <xf numFmtId="171" fontId="0" fillId="0" borderId="0" xfId="57" applyNumberFormat="1" applyFont="1" applyFill="1" applyBorder="1" applyAlignment="1" applyProtection="1">
      <alignment horizontal="left"/>
      <protection/>
    </xf>
    <xf numFmtId="0" fontId="9" fillId="0" borderId="0" xfId="57" applyFont="1" applyProtection="1">
      <alignment/>
      <protection/>
    </xf>
    <xf numFmtId="0" fontId="0" fillId="0" borderId="18" xfId="57" applyFont="1" applyFill="1" applyBorder="1" applyProtection="1">
      <alignment/>
      <protection/>
    </xf>
    <xf numFmtId="0" fontId="0" fillId="0" borderId="23" xfId="57" applyFont="1" applyBorder="1" applyProtection="1">
      <alignment/>
      <protection/>
    </xf>
    <xf numFmtId="0" fontId="0" fillId="0" borderId="19" xfId="57" applyFont="1" applyBorder="1" applyProtection="1">
      <alignment/>
      <protection/>
    </xf>
    <xf numFmtId="0" fontId="0" fillId="0" borderId="14" xfId="57" applyFont="1" applyBorder="1" applyAlignment="1" applyProtection="1">
      <alignment horizontal="center"/>
      <protection/>
    </xf>
    <xf numFmtId="38" fontId="0" fillId="0" borderId="20" xfId="57" applyNumberFormat="1" applyFont="1" applyBorder="1" applyProtection="1">
      <alignment/>
      <protection/>
    </xf>
    <xf numFmtId="171" fontId="0" fillId="0" borderId="24" xfId="57" applyNumberFormat="1" applyFont="1" applyBorder="1" applyAlignment="1" applyProtection="1">
      <alignment horizontal="left"/>
      <protection/>
    </xf>
    <xf numFmtId="0" fontId="0" fillId="0" borderId="0" xfId="57" applyFont="1" applyAlignment="1" applyProtection="1">
      <alignment horizontal="left"/>
      <protection/>
    </xf>
    <xf numFmtId="38" fontId="0" fillId="0" borderId="20" xfId="57" applyNumberFormat="1" applyFont="1" applyBorder="1" applyProtection="1">
      <alignment/>
      <protection locked="0"/>
    </xf>
    <xf numFmtId="171" fontId="0" fillId="0" borderId="26" xfId="57" applyNumberFormat="1" applyFont="1" applyBorder="1" applyProtection="1">
      <alignment/>
      <protection/>
    </xf>
    <xf numFmtId="38" fontId="0" fillId="0" borderId="20" xfId="57" applyNumberFormat="1" applyFont="1" applyFill="1" applyBorder="1" applyProtection="1">
      <alignment/>
      <protection/>
    </xf>
    <xf numFmtId="171" fontId="0" fillId="0" borderId="22" xfId="57" applyNumberFormat="1" applyFont="1" applyBorder="1" applyProtection="1">
      <alignment/>
      <protection/>
    </xf>
    <xf numFmtId="0" fontId="0" fillId="0" borderId="11" xfId="57" applyFont="1" applyBorder="1" applyProtection="1">
      <alignment/>
      <protection/>
    </xf>
    <xf numFmtId="0" fontId="0" fillId="0" borderId="0" xfId="0" applyAlignment="1" applyProtection="1">
      <alignment horizontal="right"/>
      <protection/>
    </xf>
    <xf numFmtId="0" fontId="0" fillId="0" borderId="10" xfId="0" applyFont="1" applyBorder="1" applyAlignment="1" applyProtection="1">
      <alignment/>
      <protection/>
    </xf>
    <xf numFmtId="38" fontId="0" fillId="0" borderId="0" xfId="0" applyNumberFormat="1" applyFont="1" applyBorder="1" applyAlignment="1">
      <alignment/>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18" xfId="0" applyFont="1" applyBorder="1" applyAlignment="1" applyProtection="1">
      <alignment/>
      <protection/>
    </xf>
    <xf numFmtId="0" fontId="0" fillId="0" borderId="23" xfId="0" applyFont="1" applyBorder="1" applyAlignment="1" applyProtection="1">
      <alignment/>
      <protection/>
    </xf>
    <xf numFmtId="171" fontId="0" fillId="0" borderId="0" xfId="0" applyNumberFormat="1" applyFont="1" applyBorder="1" applyAlignment="1" applyProtection="1">
      <alignment horizontal="left"/>
      <protection/>
    </xf>
    <xf numFmtId="0" fontId="0" fillId="0" borderId="24" xfId="0" applyFont="1" applyBorder="1" applyAlignment="1" applyProtection="1">
      <alignment/>
      <protection/>
    </xf>
    <xf numFmtId="171" fontId="0" fillId="0" borderId="22" xfId="0" applyNumberFormat="1" applyFont="1" applyBorder="1" applyAlignment="1" applyProtection="1">
      <alignment/>
      <protection/>
    </xf>
    <xf numFmtId="171" fontId="0" fillId="0" borderId="0" xfId="0" applyNumberFormat="1" applyFont="1" applyAlignment="1" applyProtection="1">
      <alignment horizontal="left"/>
      <protection/>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38" fontId="0" fillId="0" borderId="13" xfId="0" applyNumberFormat="1" applyFont="1" applyBorder="1" applyAlignment="1" applyProtection="1">
      <alignment/>
      <protection/>
    </xf>
    <xf numFmtId="38" fontId="0" fillId="0" borderId="13" xfId="0" applyNumberFormat="1" applyFont="1" applyBorder="1" applyAlignment="1" applyProtection="1">
      <alignment/>
      <protection locked="0"/>
    </xf>
    <xf numFmtId="38" fontId="0" fillId="0" borderId="20" xfId="0" applyNumberFormat="1" applyFont="1" applyBorder="1" applyAlignment="1" applyProtection="1">
      <alignment/>
      <protection locked="0"/>
    </xf>
    <xf numFmtId="0" fontId="0" fillId="0" borderId="10" xfId="0" applyFont="1" applyBorder="1" applyAlignment="1" applyProtection="1">
      <alignment horizontal="center"/>
      <protection/>
    </xf>
    <xf numFmtId="0" fontId="0" fillId="0" borderId="18" xfId="0" applyFont="1" applyBorder="1" applyAlignment="1" applyProtection="1">
      <alignment horizontal="centerContinuous"/>
      <protection/>
    </xf>
    <xf numFmtId="0" fontId="0" fillId="0" borderId="23" xfId="0" applyFont="1" applyBorder="1" applyAlignment="1" applyProtection="1">
      <alignment horizontal="centerContinuous"/>
      <protection/>
    </xf>
    <xf numFmtId="0" fontId="0" fillId="0" borderId="19" xfId="0" applyFont="1" applyBorder="1" applyAlignment="1" applyProtection="1">
      <alignment horizontal="centerContinuous"/>
      <protection/>
    </xf>
    <xf numFmtId="0" fontId="0" fillId="0" borderId="14" xfId="0" applyFont="1" applyBorder="1" applyAlignment="1" applyProtection="1">
      <alignment horizontal="center"/>
      <protection/>
    </xf>
    <xf numFmtId="0" fontId="0" fillId="0" borderId="23" xfId="0" applyFont="1" applyBorder="1" applyAlignment="1" applyProtection="1">
      <alignment horizontal="center"/>
      <protection/>
    </xf>
    <xf numFmtId="37" fontId="0" fillId="0" borderId="17" xfId="0" applyNumberFormat="1" applyFont="1" applyFill="1" applyBorder="1" applyAlignment="1">
      <alignment/>
    </xf>
    <xf numFmtId="0" fontId="0" fillId="0" borderId="10" xfId="0" applyFont="1" applyFill="1" applyBorder="1" applyAlignment="1">
      <alignment/>
    </xf>
    <xf numFmtId="37" fontId="0" fillId="0" borderId="30" xfId="0" applyNumberFormat="1" applyFont="1" applyFill="1" applyBorder="1" applyAlignment="1">
      <alignment/>
    </xf>
    <xf numFmtId="37" fontId="0" fillId="0" borderId="13" xfId="0" applyNumberFormat="1" applyFont="1" applyFill="1" applyBorder="1" applyAlignment="1" applyProtection="1">
      <alignment/>
      <protection/>
    </xf>
    <xf numFmtId="171" fontId="0" fillId="0" borderId="19" xfId="57" applyNumberFormat="1" applyFont="1" applyBorder="1" applyProtection="1">
      <alignment/>
      <protection/>
    </xf>
    <xf numFmtId="38" fontId="0" fillId="0" borderId="13" xfId="57" applyNumberFormat="1" applyFont="1" applyFill="1" applyBorder="1" applyProtection="1">
      <alignment/>
      <protection/>
    </xf>
    <xf numFmtId="171" fontId="0" fillId="0" borderId="0" xfId="57" applyNumberFormat="1" applyFont="1" applyBorder="1" applyAlignment="1" applyProtection="1">
      <alignment horizontal="left"/>
      <protection/>
    </xf>
    <xf numFmtId="0" fontId="1" fillId="0" borderId="18" xfId="57" applyFont="1" applyBorder="1" applyProtection="1">
      <alignment/>
      <protection/>
    </xf>
    <xf numFmtId="171" fontId="0" fillId="0" borderId="19" xfId="57" applyNumberFormat="1" applyFont="1" applyFill="1" applyBorder="1" applyProtection="1">
      <alignment/>
      <protection/>
    </xf>
    <xf numFmtId="188" fontId="0" fillId="25" borderId="0" xfId="0" applyNumberFormat="1" applyFont="1" applyFill="1" applyBorder="1" applyAlignment="1">
      <alignment/>
    </xf>
    <xf numFmtId="188" fontId="0" fillId="25" borderId="10" xfId="0" applyNumberFormat="1" applyFont="1" applyFill="1" applyBorder="1" applyAlignment="1">
      <alignment/>
    </xf>
    <xf numFmtId="188" fontId="0" fillId="25" borderId="24" xfId="0" applyNumberFormat="1" applyFont="1" applyFill="1" applyBorder="1" applyAlignment="1" applyProtection="1">
      <alignment/>
      <protection/>
    </xf>
    <xf numFmtId="188" fontId="0" fillId="25" borderId="24" xfId="0" applyNumberFormat="1" applyFont="1" applyFill="1" applyBorder="1" applyAlignment="1" applyProtection="1">
      <alignment/>
      <protection/>
    </xf>
    <xf numFmtId="188" fontId="0" fillId="25" borderId="25" xfId="0" applyNumberFormat="1" applyFont="1" applyFill="1" applyBorder="1" applyAlignment="1" applyProtection="1">
      <alignment/>
      <protection/>
    </xf>
    <xf numFmtId="38" fontId="0" fillId="0" borderId="20" xfId="57" applyNumberFormat="1" applyFont="1" applyFill="1" applyBorder="1" applyProtection="1">
      <alignment/>
      <protection locked="0"/>
    </xf>
    <xf numFmtId="38" fontId="0" fillId="0" borderId="20" xfId="57" applyNumberFormat="1" applyFont="1" applyBorder="1" applyAlignment="1" applyProtection="1">
      <alignment horizontal="right"/>
      <protection locked="0"/>
    </xf>
    <xf numFmtId="38" fontId="0" fillId="0" borderId="26" xfId="57" applyNumberFormat="1" applyFont="1" applyBorder="1" applyAlignment="1" applyProtection="1">
      <alignment horizontal="right"/>
      <protection locked="0"/>
    </xf>
    <xf numFmtId="0" fontId="0" fillId="0" borderId="22" xfId="57" applyFont="1" applyBorder="1" applyAlignment="1" applyProtection="1">
      <alignment horizontal="center"/>
      <protection/>
    </xf>
    <xf numFmtId="0" fontId="0" fillId="0" borderId="26" xfId="57" applyFont="1" applyBorder="1" applyAlignment="1" applyProtection="1">
      <alignment horizontal="center"/>
      <protection/>
    </xf>
    <xf numFmtId="0" fontId="1" fillId="0" borderId="18" xfId="0" applyFont="1" applyBorder="1" applyAlignment="1" applyProtection="1">
      <alignment/>
      <protection/>
    </xf>
    <xf numFmtId="0" fontId="0" fillId="0" borderId="19" xfId="0" applyFont="1" applyBorder="1" applyAlignment="1" applyProtection="1">
      <alignment/>
      <protection/>
    </xf>
    <xf numFmtId="0" fontId="0" fillId="0" borderId="14" xfId="0" applyFont="1" applyBorder="1" applyAlignment="1" applyProtection="1">
      <alignment/>
      <protection/>
    </xf>
    <xf numFmtId="0" fontId="1" fillId="0" borderId="24" xfId="0" applyFont="1" applyBorder="1" applyAlignment="1" applyProtection="1">
      <alignment/>
      <protection/>
    </xf>
    <xf numFmtId="0" fontId="0" fillId="0" borderId="22" xfId="0" applyFont="1" applyBorder="1" applyAlignment="1" applyProtection="1">
      <alignment/>
      <protection/>
    </xf>
    <xf numFmtId="0" fontId="0" fillId="0" borderId="29" xfId="0" applyFont="1" applyBorder="1" applyAlignment="1" applyProtection="1">
      <alignment horizontal="center"/>
      <protection/>
    </xf>
    <xf numFmtId="0" fontId="0" fillId="0" borderId="29" xfId="0" applyFont="1" applyBorder="1" applyAlignment="1" applyProtection="1">
      <alignment/>
      <protection/>
    </xf>
    <xf numFmtId="171" fontId="0" fillId="0" borderId="26" xfId="0" applyNumberFormat="1" applyFont="1" applyFill="1" applyBorder="1" applyAlignment="1" applyProtection="1">
      <alignment/>
      <protection/>
    </xf>
    <xf numFmtId="0" fontId="0" fillId="0" borderId="20" xfId="0" applyFont="1" applyBorder="1" applyAlignment="1" applyProtection="1">
      <alignment horizontal="center"/>
      <protection/>
    </xf>
    <xf numFmtId="171" fontId="0" fillId="0" borderId="19" xfId="0" applyNumberFormat="1" applyFont="1" applyFill="1" applyBorder="1" applyAlignment="1" applyProtection="1">
      <alignment/>
      <protection/>
    </xf>
    <xf numFmtId="171" fontId="0" fillId="0" borderId="22"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25" xfId="0" applyFont="1" applyBorder="1" applyAlignment="1" applyProtection="1">
      <alignment/>
      <protection/>
    </xf>
    <xf numFmtId="0" fontId="0" fillId="0" borderId="27" xfId="0" applyFont="1" applyBorder="1" applyAlignment="1" applyProtection="1">
      <alignment/>
      <protection/>
    </xf>
    <xf numFmtId="0" fontId="0" fillId="0" borderId="11" xfId="0" applyFont="1" applyBorder="1" applyAlignment="1" applyProtection="1">
      <alignment/>
      <protection/>
    </xf>
    <xf numFmtId="171" fontId="0" fillId="0" borderId="28" xfId="0" applyNumberFormat="1" applyFont="1" applyFill="1" applyBorder="1" applyAlignment="1" applyProtection="1">
      <alignment/>
      <protection/>
    </xf>
    <xf numFmtId="171" fontId="0" fillId="0" borderId="24" xfId="57" applyNumberFormat="1" applyFont="1" applyFill="1" applyBorder="1" applyAlignment="1" applyProtection="1">
      <alignment horizontal="left"/>
      <protection/>
    </xf>
    <xf numFmtId="171" fontId="0" fillId="0" borderId="10" xfId="0" applyNumberFormat="1" applyFont="1" applyFill="1" applyBorder="1" applyAlignment="1" applyProtection="1">
      <alignment/>
      <protection/>
    </xf>
    <xf numFmtId="171" fontId="0" fillId="0" borderId="0" xfId="57" applyNumberFormat="1" applyFont="1" applyBorder="1" applyAlignment="1" applyProtection="1">
      <alignment horizontal="right"/>
      <protection/>
    </xf>
    <xf numFmtId="171" fontId="0" fillId="0" borderId="26" xfId="57" applyNumberFormat="1" applyFont="1" applyBorder="1" applyAlignment="1" applyProtection="1">
      <alignment horizontal="right"/>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14" xfId="0" applyFont="1" applyBorder="1" applyAlignment="1">
      <alignment horizontal="centerContinuous"/>
    </xf>
    <xf numFmtId="0" fontId="0" fillId="0" borderId="19" xfId="0" applyFont="1" applyBorder="1" applyAlignment="1">
      <alignment horizontal="centerContinuous"/>
    </xf>
    <xf numFmtId="0" fontId="0" fillId="0" borderId="18" xfId="0" applyFont="1" applyBorder="1" applyAlignment="1">
      <alignment horizontal="centerContinuous"/>
    </xf>
    <xf numFmtId="0" fontId="0" fillId="0" borderId="24" xfId="0" applyFont="1" applyBorder="1" applyAlignment="1">
      <alignment horizontal="center"/>
    </xf>
    <xf numFmtId="0" fontId="0" fillId="0" borderId="29" xfId="0" applyFont="1" applyBorder="1" applyAlignment="1">
      <alignment horizontal="centerContinuous"/>
    </xf>
    <xf numFmtId="0" fontId="0" fillId="0" borderId="29" xfId="0" applyFont="1" applyBorder="1" applyAlignment="1">
      <alignment horizontal="center"/>
    </xf>
    <xf numFmtId="0" fontId="0" fillId="0" borderId="22" xfId="0" applyFont="1" applyBorder="1" applyAlignment="1">
      <alignment horizontal="centerContinuous"/>
    </xf>
    <xf numFmtId="0" fontId="0" fillId="0" borderId="11" xfId="57" applyFont="1" applyBorder="1" applyProtection="1">
      <alignment/>
      <protection locked="0"/>
    </xf>
    <xf numFmtId="0" fontId="0" fillId="0" borderId="0" xfId="0" applyFont="1" applyFill="1" applyBorder="1" applyAlignment="1">
      <alignment/>
    </xf>
    <xf numFmtId="0" fontId="1" fillId="0" borderId="0" xfId="0" applyFont="1" applyFill="1" applyBorder="1" applyAlignment="1">
      <alignment/>
    </xf>
    <xf numFmtId="0" fontId="0" fillId="0" borderId="0" xfId="57" applyFont="1" applyFill="1" applyBorder="1" applyProtection="1">
      <alignment/>
      <protection/>
    </xf>
    <xf numFmtId="0" fontId="0" fillId="0" borderId="10" xfId="57" applyFont="1" applyFill="1" applyBorder="1" applyProtection="1">
      <alignment/>
      <protection/>
    </xf>
    <xf numFmtId="0" fontId="0" fillId="0" borderId="24" xfId="57" applyFont="1" applyFill="1" applyBorder="1" applyProtection="1">
      <alignment/>
      <protection/>
    </xf>
    <xf numFmtId="0" fontId="0" fillId="0" borderId="25" xfId="57" applyFont="1" applyFill="1" applyBorder="1" applyProtection="1">
      <alignment/>
      <protection/>
    </xf>
    <xf numFmtId="0" fontId="0" fillId="0" borderId="0" xfId="0" applyFont="1" applyBorder="1" applyAlignment="1">
      <alignment horizontal="left"/>
    </xf>
    <xf numFmtId="0" fontId="1" fillId="0" borderId="0" xfId="0" applyFont="1" applyBorder="1" applyAlignment="1">
      <alignment horizontal="left"/>
    </xf>
    <xf numFmtId="37" fontId="0" fillId="0" borderId="0" xfId="0" applyNumberFormat="1" applyFont="1" applyAlignment="1" applyProtection="1">
      <alignment/>
      <protection locked="0"/>
    </xf>
    <xf numFmtId="37" fontId="0" fillId="0" borderId="13"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8" fontId="0" fillId="0" borderId="20" xfId="0" applyNumberFormat="1" applyFont="1" applyBorder="1" applyAlignment="1" applyProtection="1">
      <alignment horizontal="right"/>
      <protection locked="0"/>
    </xf>
    <xf numFmtId="0" fontId="0" fillId="0" borderId="0" xfId="0" applyFont="1" applyBorder="1" applyAlignment="1" applyProtection="1">
      <alignment horizontal="centerContinuous"/>
      <protection/>
    </xf>
    <xf numFmtId="38" fontId="0" fillId="0" borderId="20" xfId="0" applyNumberFormat="1" applyFont="1" applyBorder="1" applyAlignment="1" applyProtection="1">
      <alignment/>
      <protection/>
    </xf>
    <xf numFmtId="0" fontId="0" fillId="0" borderId="10" xfId="0" applyFont="1" applyFill="1" applyBorder="1" applyAlignment="1" applyProtection="1">
      <alignment/>
      <protection/>
    </xf>
    <xf numFmtId="168" fontId="0" fillId="0" borderId="0" xfId="0" applyNumberFormat="1" applyFont="1" applyFill="1" applyAlignment="1">
      <alignment horizontal="center"/>
    </xf>
    <xf numFmtId="49" fontId="0" fillId="0" borderId="10" xfId="0" applyNumberFormat="1" applyFont="1" applyBorder="1" applyAlignment="1">
      <alignment horizontal="center"/>
    </xf>
    <xf numFmtId="49" fontId="0" fillId="0" borderId="10" xfId="0" applyNumberFormat="1" applyFont="1" applyBorder="1" applyAlignment="1" applyProtection="1">
      <alignment horizontal="center"/>
      <protection/>
    </xf>
    <xf numFmtId="49" fontId="0" fillId="0" borderId="10" xfId="0" applyNumberFormat="1" applyFont="1" applyBorder="1" applyAlignment="1">
      <alignment horizontal="centerContinuous"/>
    </xf>
    <xf numFmtId="0" fontId="0" fillId="0" borderId="0" xfId="0" applyNumberFormat="1" applyFont="1" applyBorder="1" applyAlignment="1" applyProtection="1">
      <alignment/>
      <protection/>
    </xf>
    <xf numFmtId="37" fontId="0" fillId="0" borderId="10" xfId="0" applyNumberFormat="1" applyFont="1" applyFill="1" applyBorder="1" applyAlignment="1" applyProtection="1">
      <alignment/>
      <protection locked="0"/>
    </xf>
    <xf numFmtId="37" fontId="0" fillId="0" borderId="11" xfId="0" applyNumberFormat="1" applyFont="1" applyFill="1" applyBorder="1" applyAlignment="1" applyProtection="1">
      <alignment/>
      <protection locked="0"/>
    </xf>
    <xf numFmtId="37" fontId="0" fillId="0" borderId="12" xfId="0" applyNumberFormat="1" applyFont="1" applyFill="1" applyBorder="1" applyAlignment="1" applyProtection="1">
      <alignment/>
      <protection/>
    </xf>
    <xf numFmtId="0" fontId="0" fillId="0" borderId="0" xfId="0" applyFont="1" applyFill="1" applyBorder="1" applyAlignment="1">
      <alignment horizontal="right"/>
    </xf>
    <xf numFmtId="49" fontId="0" fillId="0" borderId="0" xfId="0" applyNumberFormat="1" applyFont="1" applyFill="1" applyBorder="1" applyAlignment="1">
      <alignment horizontal="left"/>
    </xf>
    <xf numFmtId="49" fontId="0" fillId="0" borderId="0" xfId="0" applyNumberFormat="1" applyFont="1" applyFill="1" applyAlignment="1">
      <alignment/>
    </xf>
    <xf numFmtId="37" fontId="0" fillId="0" borderId="16"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49" fontId="0" fillId="0" borderId="0" xfId="0" applyNumberFormat="1" applyFont="1" applyFill="1" applyAlignment="1">
      <alignment horizontal="right"/>
    </xf>
    <xf numFmtId="38" fontId="0" fillId="0" borderId="20" xfId="0" applyNumberFormat="1" applyFont="1" applyFill="1" applyBorder="1" applyAlignment="1" applyProtection="1">
      <alignmen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49" fontId="0" fillId="0" borderId="0" xfId="0" applyNumberFormat="1" applyFont="1" applyFill="1" applyAlignment="1">
      <alignment horizontal="left"/>
    </xf>
    <xf numFmtId="0" fontId="1" fillId="0" borderId="18" xfId="0" applyFont="1" applyFill="1" applyBorder="1" applyAlignment="1" applyProtection="1">
      <alignment/>
      <protection/>
    </xf>
    <xf numFmtId="0" fontId="0" fillId="0" borderId="23" xfId="0" applyFont="1" applyFill="1" applyBorder="1" applyAlignment="1" applyProtection="1">
      <alignment/>
      <protection/>
    </xf>
    <xf numFmtId="38" fontId="0" fillId="0" borderId="20" xfId="0" applyNumberFormat="1" applyFont="1" applyFill="1" applyBorder="1" applyAlignment="1" applyProtection="1">
      <alignment horizontal="right"/>
      <protection locked="0"/>
    </xf>
    <xf numFmtId="38" fontId="0" fillId="0" borderId="13" xfId="0" applyNumberFormat="1" applyFont="1" applyFill="1" applyBorder="1" applyAlignment="1" applyProtection="1">
      <alignment/>
      <protection locked="0"/>
    </xf>
    <xf numFmtId="38" fontId="0" fillId="0" borderId="20" xfId="0" applyNumberFormat="1" applyFont="1" applyFill="1" applyBorder="1" applyAlignment="1" applyProtection="1">
      <alignment/>
      <protection locked="0"/>
    </xf>
    <xf numFmtId="171" fontId="0" fillId="0" borderId="0"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27" xfId="0" applyFont="1" applyFill="1" applyBorder="1" applyAlignment="1" applyProtection="1">
      <alignment/>
      <protection/>
    </xf>
    <xf numFmtId="0" fontId="0" fillId="0" borderId="0" xfId="0" applyFont="1" applyFill="1" applyBorder="1" applyAlignment="1">
      <alignment horizontal="left"/>
    </xf>
    <xf numFmtId="0" fontId="0" fillId="0" borderId="27" xfId="0" applyFont="1" applyFill="1" applyBorder="1" applyAlignment="1">
      <alignment/>
    </xf>
    <xf numFmtId="0" fontId="0" fillId="0" borderId="11" xfId="0" applyFont="1" applyFill="1" applyBorder="1" applyAlignment="1">
      <alignment/>
    </xf>
    <xf numFmtId="49" fontId="0" fillId="0" borderId="28" xfId="0" applyNumberFormat="1" applyFont="1" applyFill="1" applyBorder="1" applyAlignment="1">
      <alignment horizontal="right"/>
    </xf>
    <xf numFmtId="0" fontId="1" fillId="0" borderId="0" xfId="0" applyFont="1" applyFill="1" applyAlignment="1">
      <alignment/>
    </xf>
    <xf numFmtId="37" fontId="0" fillId="0" borderId="16" xfId="0" applyNumberFormat="1" applyFont="1" applyFill="1" applyBorder="1" applyAlignment="1">
      <alignment/>
    </xf>
    <xf numFmtId="37" fontId="0" fillId="0" borderId="30" xfId="0" applyNumberFormat="1" applyFont="1" applyFill="1" applyBorder="1" applyAlignment="1" applyProtection="1">
      <alignment/>
      <protection/>
    </xf>
    <xf numFmtId="0" fontId="0" fillId="21" borderId="13" xfId="0" applyFont="1" applyFill="1" applyBorder="1" applyAlignment="1">
      <alignment/>
    </xf>
    <xf numFmtId="37" fontId="0" fillId="24" borderId="15" xfId="0" applyNumberFormat="1" applyFont="1" applyFill="1" applyBorder="1" applyAlignment="1" applyProtection="1">
      <alignment/>
      <protection/>
    </xf>
    <xf numFmtId="37" fontId="0" fillId="24" borderId="16" xfId="0" applyNumberFormat="1" applyFont="1" applyFill="1" applyBorder="1" applyAlignment="1" applyProtection="1">
      <alignment/>
      <protection/>
    </xf>
    <xf numFmtId="10" fontId="0" fillId="0" borderId="13" xfId="0" applyNumberFormat="1" applyFont="1" applyBorder="1" applyAlignment="1">
      <alignment/>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3" xfId="0" applyFont="1" applyBorder="1" applyAlignment="1">
      <alignment horizontal="center" wrapText="1"/>
    </xf>
    <xf numFmtId="0" fontId="1" fillId="0" borderId="0" xfId="0" applyFont="1" applyBorder="1" applyAlignment="1" applyProtection="1">
      <alignment/>
      <protection/>
    </xf>
    <xf numFmtId="188" fontId="0" fillId="25" borderId="0" xfId="0" applyNumberFormat="1" applyFont="1" applyFill="1" applyBorder="1" applyAlignment="1" applyProtection="1">
      <alignment/>
      <protection/>
    </xf>
    <xf numFmtId="38" fontId="0" fillId="25" borderId="0" xfId="0" applyNumberFormat="1" applyFont="1" applyFill="1" applyBorder="1" applyAlignment="1" applyProtection="1">
      <alignment horizontal="right"/>
      <protection/>
    </xf>
    <xf numFmtId="0" fontId="0" fillId="0" borderId="25" xfId="0" applyBorder="1" applyAlignment="1">
      <alignment/>
    </xf>
    <xf numFmtId="0" fontId="1" fillId="0" borderId="24" xfId="0" applyFont="1" applyFill="1" applyBorder="1" applyAlignment="1" applyProtection="1">
      <alignment/>
      <protection/>
    </xf>
    <xf numFmtId="38" fontId="0" fillId="0" borderId="14" xfId="0" applyNumberFormat="1" applyFont="1" applyFill="1" applyBorder="1" applyAlignment="1" applyProtection="1">
      <alignment/>
      <protection/>
    </xf>
    <xf numFmtId="171" fontId="0" fillId="0" borderId="26" xfId="0" applyNumberFormat="1" applyFont="1" applyFill="1" applyBorder="1" applyAlignment="1" applyProtection="1">
      <alignment horizontal="center"/>
      <protection/>
    </xf>
    <xf numFmtId="0" fontId="0" fillId="0" borderId="20" xfId="0" applyFont="1" applyBorder="1" applyAlignment="1" applyProtection="1">
      <alignment horizontal="center" vertical="center"/>
      <protection/>
    </xf>
    <xf numFmtId="38" fontId="0" fillId="21" borderId="13" xfId="0" applyNumberFormat="1" applyFont="1" applyFill="1" applyBorder="1" applyAlignment="1" applyProtection="1">
      <alignment/>
      <protection/>
    </xf>
    <xf numFmtId="0" fontId="0" fillId="21" borderId="14" xfId="0" applyFill="1" applyBorder="1" applyAlignment="1" applyProtection="1">
      <alignment horizontal="center"/>
      <protection/>
    </xf>
    <xf numFmtId="0" fontId="0" fillId="21" borderId="20" xfId="0"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171" fontId="0" fillId="0" borderId="0" xfId="0" applyNumberFormat="1" applyFont="1" applyFill="1" applyBorder="1" applyAlignment="1" applyProtection="1">
      <alignment/>
      <protection/>
    </xf>
    <xf numFmtId="171" fontId="0" fillId="21" borderId="13" xfId="0" applyNumberFormat="1" applyFont="1" applyFill="1" applyBorder="1" applyAlignment="1" applyProtection="1">
      <alignment/>
      <protection/>
    </xf>
    <xf numFmtId="0" fontId="0" fillId="21" borderId="13" xfId="0" applyFill="1" applyBorder="1" applyAlignment="1">
      <alignment/>
    </xf>
    <xf numFmtId="171" fontId="0" fillId="21" borderId="26" xfId="0" applyNumberFormat="1" applyFont="1" applyFill="1" applyBorder="1" applyAlignment="1" applyProtection="1">
      <alignment/>
      <protection/>
    </xf>
    <xf numFmtId="38" fontId="0" fillId="21" borderId="20" xfId="0" applyNumberFormat="1" applyFont="1" applyFill="1" applyBorder="1" applyAlignment="1" applyProtection="1">
      <alignment/>
      <protection/>
    </xf>
    <xf numFmtId="0" fontId="0" fillId="21" borderId="13" xfId="0" applyFill="1" applyBorder="1" applyAlignment="1" applyProtection="1">
      <alignment/>
      <protection/>
    </xf>
    <xf numFmtId="38" fontId="0" fillId="21" borderId="14" xfId="0" applyNumberFormat="1" applyFont="1" applyFill="1" applyBorder="1" applyAlignment="1" applyProtection="1">
      <alignment/>
      <protection/>
    </xf>
    <xf numFmtId="0" fontId="0" fillId="21" borderId="14" xfId="0" applyFill="1" applyBorder="1" applyAlignment="1" applyProtection="1">
      <alignment/>
      <protection/>
    </xf>
    <xf numFmtId="38" fontId="0" fillId="21" borderId="18" xfId="0" applyNumberFormat="1" applyFont="1" applyFill="1" applyBorder="1" applyAlignment="1" applyProtection="1">
      <alignment/>
      <protection/>
    </xf>
    <xf numFmtId="171" fontId="0" fillId="21" borderId="24" xfId="0" applyNumberFormat="1" applyFont="1" applyFill="1" applyBorder="1" applyAlignment="1" applyProtection="1">
      <alignment/>
      <protection/>
    </xf>
    <xf numFmtId="171" fontId="0" fillId="21" borderId="25" xfId="0" applyNumberFormat="1" applyFont="1" applyFill="1" applyBorder="1" applyAlignment="1" applyProtection="1">
      <alignment/>
      <protection/>
    </xf>
    <xf numFmtId="0" fontId="0" fillId="0" borderId="18" xfId="0" applyFont="1" applyBorder="1" applyAlignment="1" applyProtection="1">
      <alignment horizontal="center"/>
      <protection/>
    </xf>
    <xf numFmtId="38" fontId="0" fillId="0" borderId="28" xfId="0" applyNumberFormat="1" applyFont="1" applyFill="1" applyBorder="1" applyAlignment="1" applyProtection="1">
      <alignment/>
      <protection/>
    </xf>
    <xf numFmtId="0" fontId="0" fillId="0" borderId="0" xfId="0" applyFont="1" applyBorder="1" applyAlignment="1" applyProtection="1">
      <alignment vertical="top"/>
      <protection/>
    </xf>
    <xf numFmtId="0" fontId="0" fillId="0" borderId="24" xfId="0" applyFont="1" applyBorder="1" applyAlignment="1" applyProtection="1">
      <alignment/>
      <protection/>
    </xf>
    <xf numFmtId="0" fontId="8" fillId="0" borderId="0" xfId="0" applyFont="1" applyFill="1" applyBorder="1" applyAlignment="1" applyProtection="1">
      <alignment vertical="top"/>
      <protection/>
    </xf>
    <xf numFmtId="0" fontId="0" fillId="0" borderId="18" xfId="57" applyFont="1" applyBorder="1" applyAlignment="1" applyProtection="1">
      <alignment/>
      <protection/>
    </xf>
    <xf numFmtId="38" fontId="0" fillId="0" borderId="27" xfId="57" applyNumberFormat="1" applyFont="1" applyFill="1" applyBorder="1" applyAlignment="1" applyProtection="1">
      <alignment/>
      <protection locked="0"/>
    </xf>
    <xf numFmtId="38" fontId="0" fillId="0" borderId="27" xfId="57" applyNumberFormat="1" applyFont="1" applyBorder="1" applyAlignment="1" applyProtection="1">
      <alignment/>
      <protection/>
    </xf>
    <xf numFmtId="188" fontId="0" fillId="25" borderId="29" xfId="0" applyNumberFormat="1" applyFont="1" applyFill="1" applyBorder="1" applyAlignment="1" applyProtection="1">
      <alignment horizontal="center"/>
      <protection/>
    </xf>
    <xf numFmtId="38" fontId="0" fillId="25" borderId="13" xfId="0" applyNumberFormat="1" applyFont="1" applyFill="1" applyBorder="1" applyAlignment="1" applyProtection="1">
      <alignment/>
      <protection locked="0"/>
    </xf>
    <xf numFmtId="38" fontId="0" fillId="25" borderId="13" xfId="0" applyNumberFormat="1" applyFont="1" applyFill="1" applyBorder="1" applyAlignment="1">
      <alignment/>
    </xf>
    <xf numFmtId="38" fontId="0" fillId="25" borderId="13" xfId="0" applyNumberFormat="1" applyFont="1" applyFill="1" applyBorder="1" applyAlignment="1" applyProtection="1">
      <alignment/>
      <protection/>
    </xf>
    <xf numFmtId="0" fontId="0" fillId="0" borderId="26" xfId="0" applyFont="1" applyBorder="1" applyAlignment="1" applyProtection="1">
      <alignment/>
      <protection/>
    </xf>
    <xf numFmtId="49" fontId="0" fillId="0" borderId="0"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0" fontId="8" fillId="0" borderId="0" xfId="0" applyFont="1" applyFill="1" applyBorder="1" applyAlignment="1" applyProtection="1">
      <alignment/>
      <protection/>
    </xf>
    <xf numFmtId="49" fontId="0" fillId="0" borderId="0" xfId="0" applyNumberFormat="1" applyFont="1" applyBorder="1" applyAlignment="1" applyProtection="1">
      <alignment horizontal="left" vertical="top"/>
      <protection/>
    </xf>
    <xf numFmtId="0" fontId="8" fillId="0" borderId="0" xfId="0" applyFont="1" applyFill="1" applyBorder="1" applyAlignment="1" applyProtection="1">
      <alignment/>
      <protection/>
    </xf>
    <xf numFmtId="3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protection/>
    </xf>
    <xf numFmtId="0" fontId="0" fillId="0" borderId="25" xfId="0" applyFont="1" applyBorder="1" applyAlignment="1">
      <alignment horizontal="center" wrapText="1"/>
    </xf>
    <xf numFmtId="0" fontId="0" fillId="0" borderId="19" xfId="0" applyFont="1" applyBorder="1" applyAlignment="1" applyProtection="1">
      <alignment horizontal="center"/>
      <protection/>
    </xf>
    <xf numFmtId="3" fontId="0" fillId="0" borderId="0" xfId="0" applyNumberFormat="1" applyFont="1" applyBorder="1" applyAlignment="1" applyProtection="1">
      <alignment horizontal="right"/>
      <protection/>
    </xf>
    <xf numFmtId="3"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vertical="top"/>
      <protection/>
    </xf>
    <xf numFmtId="38" fontId="0" fillId="0" borderId="0" xfId="0" applyNumberFormat="1" applyFont="1" applyFill="1" applyBorder="1" applyAlignment="1" applyProtection="1">
      <alignment vertical="top"/>
      <protection/>
    </xf>
    <xf numFmtId="38" fontId="0" fillId="0" borderId="13" xfId="0" applyNumberFormat="1" applyBorder="1" applyAlignment="1" applyProtection="1">
      <alignment/>
      <protection/>
    </xf>
    <xf numFmtId="38" fontId="0" fillId="0" borderId="13" xfId="0" applyNumberFormat="1" applyFont="1" applyBorder="1" applyAlignment="1" applyProtection="1">
      <alignment horizontal="right"/>
      <protection locked="0"/>
    </xf>
    <xf numFmtId="37" fontId="0" fillId="0" borderId="10" xfId="0" applyNumberFormat="1" applyFont="1" applyBorder="1" applyAlignment="1" applyProtection="1">
      <alignment/>
      <protection/>
    </xf>
    <xf numFmtId="38" fontId="8" fillId="0" borderId="13" xfId="0" applyNumberFormat="1" applyFont="1" applyFill="1" applyBorder="1" applyAlignment="1" applyProtection="1">
      <alignment/>
      <protection/>
    </xf>
    <xf numFmtId="38" fontId="0" fillId="0" borderId="29" xfId="57" applyNumberFormat="1" applyFont="1" applyBorder="1" applyAlignment="1" applyProtection="1">
      <alignment/>
      <protection locked="0"/>
    </xf>
    <xf numFmtId="38" fontId="0" fillId="0" borderId="14" xfId="57" applyNumberFormat="1" applyFont="1" applyBorder="1" applyAlignment="1" applyProtection="1">
      <alignment/>
      <protection/>
    </xf>
    <xf numFmtId="38" fontId="0" fillId="0" borderId="14" xfId="57"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locked="0"/>
    </xf>
    <xf numFmtId="38" fontId="0" fillId="0" borderId="29" xfId="0" applyNumberFormat="1" applyFont="1" applyFill="1" applyBorder="1" applyAlignment="1" applyProtection="1">
      <alignment/>
      <protection/>
    </xf>
    <xf numFmtId="38" fontId="0" fillId="0" borderId="29" xfId="0" applyNumberFormat="1" applyFont="1" applyBorder="1" applyAlignment="1" applyProtection="1">
      <alignment/>
      <protection/>
    </xf>
    <xf numFmtId="37" fontId="0" fillId="0" borderId="20" xfId="0" applyNumberFormat="1" applyFont="1" applyBorder="1" applyAlignment="1" applyProtection="1">
      <alignment/>
      <protection locked="0"/>
    </xf>
    <xf numFmtId="37" fontId="0" fillId="0" borderId="14" xfId="0" applyNumberFormat="1" applyFont="1" applyBorder="1" applyAlignment="1" applyProtection="1">
      <alignment/>
      <protection/>
    </xf>
    <xf numFmtId="37" fontId="0" fillId="0" borderId="18" xfId="0" applyNumberFormat="1" applyFont="1" applyBorder="1" applyAlignment="1" applyProtection="1">
      <alignment/>
      <protection/>
    </xf>
    <xf numFmtId="37" fontId="0" fillId="0" borderId="25" xfId="0" applyNumberFormat="1" applyFont="1" applyBorder="1" applyAlignment="1" applyProtection="1">
      <alignment/>
      <protection locked="0"/>
    </xf>
    <xf numFmtId="37" fontId="0" fillId="0" borderId="29" xfId="0" applyNumberFormat="1" applyFont="1" applyBorder="1" applyAlignment="1" applyProtection="1">
      <alignment/>
      <protection locked="0"/>
    </xf>
    <xf numFmtId="38" fontId="0" fillId="0" borderId="29" xfId="57" applyNumberFormat="1" applyFont="1" applyBorder="1" applyAlignment="1" applyProtection="1">
      <alignment/>
      <protection/>
    </xf>
    <xf numFmtId="37" fontId="0" fillId="0" borderId="20" xfId="57" applyNumberFormat="1" applyFont="1" applyFill="1" applyBorder="1" applyAlignment="1" applyProtection="1">
      <alignment/>
      <protection locked="0"/>
    </xf>
    <xf numFmtId="38" fontId="0" fillId="0" borderId="20" xfId="57" applyNumberFormat="1" applyFont="1" applyFill="1" applyBorder="1" applyAlignment="1" applyProtection="1">
      <alignment/>
      <protection locked="0"/>
    </xf>
    <xf numFmtId="38" fontId="0" fillId="0" borderId="29" xfId="57" applyNumberFormat="1" applyFont="1" applyFill="1" applyBorder="1" applyAlignment="1" applyProtection="1">
      <alignment/>
      <protection/>
    </xf>
    <xf numFmtId="38" fontId="0" fillId="0" borderId="20" xfId="0" applyNumberFormat="1" applyFont="1" applyFill="1" applyBorder="1" applyAlignment="1" applyProtection="1">
      <alignment/>
      <protection locked="0"/>
    </xf>
    <xf numFmtId="38" fontId="0" fillId="21" borderId="14" xfId="0" applyNumberFormat="1" applyFont="1" applyFill="1" applyBorder="1" applyAlignment="1" applyProtection="1">
      <alignment/>
      <protection/>
    </xf>
    <xf numFmtId="38" fontId="0" fillId="21" borderId="29" xfId="0" applyNumberFormat="1" applyFont="1" applyFill="1" applyBorder="1" applyAlignment="1" applyProtection="1">
      <alignment/>
      <protection/>
    </xf>
    <xf numFmtId="38" fontId="0" fillId="21" borderId="20" xfId="0" applyNumberFormat="1" applyFont="1" applyFill="1" applyBorder="1" applyAlignment="1" applyProtection="1">
      <alignment/>
      <protection/>
    </xf>
    <xf numFmtId="0" fontId="0" fillId="21" borderId="14" xfId="0" applyFill="1" applyBorder="1" applyAlignment="1" applyProtection="1">
      <alignment/>
      <protection/>
    </xf>
    <xf numFmtId="0" fontId="0" fillId="21" borderId="20" xfId="0" applyFill="1" applyBorder="1" applyAlignment="1" applyProtection="1">
      <alignment/>
      <protection/>
    </xf>
    <xf numFmtId="0" fontId="0" fillId="21" borderId="13" xfId="0" applyFill="1" applyBorder="1" applyAlignment="1" applyProtection="1">
      <alignment/>
      <protection/>
    </xf>
    <xf numFmtId="0" fontId="0" fillId="21" borderId="29" xfId="0" applyFill="1" applyBorder="1" applyAlignment="1" applyProtection="1">
      <alignment/>
      <protection/>
    </xf>
    <xf numFmtId="38" fontId="0" fillId="0" borderId="0" xfId="57" applyNumberFormat="1" applyFont="1" applyFill="1" applyBorder="1" applyAlignment="1" applyProtection="1">
      <alignment horizontal="right"/>
      <protection/>
    </xf>
    <xf numFmtId="0" fontId="0" fillId="0" borderId="0" xfId="0" applyFont="1" applyAlignment="1">
      <alignment/>
    </xf>
    <xf numFmtId="0" fontId="0" fillId="0" borderId="0" xfId="0" applyFont="1" applyBorder="1" applyAlignment="1">
      <alignment wrapText="1"/>
    </xf>
    <xf numFmtId="0" fontId="0" fillId="0" borderId="13" xfId="0" applyFont="1" applyFill="1" applyBorder="1" applyAlignment="1">
      <alignment horizontal="center"/>
    </xf>
    <xf numFmtId="38" fontId="0" fillId="21" borderId="20" xfId="57" applyNumberFormat="1" applyFont="1" applyFill="1" applyBorder="1" applyProtection="1">
      <alignment/>
      <protection/>
    </xf>
    <xf numFmtId="37" fontId="0" fillId="26" borderId="13" xfId="0" applyNumberFormat="1" applyFont="1" applyFill="1" applyBorder="1" applyAlignment="1">
      <alignment/>
    </xf>
    <xf numFmtId="49" fontId="0" fillId="0" borderId="0" xfId="0" applyNumberFormat="1" applyFont="1" applyBorder="1" applyAlignment="1">
      <alignment horizontal="center"/>
    </xf>
    <xf numFmtId="188" fontId="1" fillId="25" borderId="0" xfId="0" applyNumberFormat="1" applyFont="1" applyFill="1" applyAlignment="1">
      <alignment horizontal="center"/>
    </xf>
    <xf numFmtId="188" fontId="0" fillId="25" borderId="0" xfId="0" applyNumberFormat="1" applyFont="1" applyFill="1" applyAlignment="1">
      <alignment/>
    </xf>
    <xf numFmtId="188" fontId="1" fillId="25" borderId="0" xfId="0" applyNumberFormat="1" applyFont="1" applyFill="1" applyAlignment="1">
      <alignment/>
    </xf>
    <xf numFmtId="188" fontId="0" fillId="0" borderId="0" xfId="0" applyNumberFormat="1" applyFont="1" applyFill="1" applyAlignment="1">
      <alignment/>
    </xf>
    <xf numFmtId="188" fontId="0" fillId="25" borderId="0" xfId="0" applyNumberFormat="1" applyFont="1" applyFill="1" applyAlignment="1" quotePrefix="1">
      <alignment/>
    </xf>
    <xf numFmtId="188" fontId="0" fillId="25" borderId="0" xfId="0" applyNumberFormat="1" applyFont="1" applyFill="1" applyAlignment="1" quotePrefix="1">
      <alignment horizontal="left" vertical="center"/>
    </xf>
    <xf numFmtId="188" fontId="0" fillId="25" borderId="0" xfId="0" applyNumberFormat="1" applyFont="1" applyFill="1" applyAlignment="1">
      <alignment vertical="center"/>
    </xf>
    <xf numFmtId="169" fontId="0" fillId="25" borderId="0" xfId="0" applyNumberFormat="1" applyFont="1" applyFill="1" applyBorder="1" applyAlignment="1">
      <alignment horizontal="right"/>
    </xf>
    <xf numFmtId="188" fontId="0" fillId="25" borderId="0" xfId="0" applyNumberFormat="1" applyFont="1" applyFill="1" applyAlignment="1" quotePrefix="1">
      <alignment/>
    </xf>
    <xf numFmtId="49" fontId="0" fillId="25" borderId="0" xfId="0" applyNumberFormat="1" applyFont="1" applyFill="1" applyAlignment="1" quotePrefix="1">
      <alignment/>
    </xf>
    <xf numFmtId="1" fontId="0" fillId="25" borderId="0" xfId="0" applyNumberFormat="1" applyFont="1" applyFill="1" applyBorder="1" applyAlignment="1">
      <alignment horizontal="right"/>
    </xf>
    <xf numFmtId="0" fontId="1" fillId="0" borderId="0" xfId="0" applyFont="1" applyAlignment="1">
      <alignment horizontal="left"/>
    </xf>
    <xf numFmtId="38" fontId="0" fillId="0" borderId="20" xfId="57" applyNumberFormat="1" applyFont="1" applyFill="1" applyBorder="1" applyAlignment="1" applyProtection="1">
      <alignment/>
      <protection/>
    </xf>
    <xf numFmtId="38" fontId="0" fillId="0" borderId="20" xfId="57" applyNumberFormat="1" applyFont="1" applyFill="1" applyBorder="1" applyAlignment="1" applyProtection="1">
      <alignment horizontal="right"/>
      <protection/>
    </xf>
    <xf numFmtId="49" fontId="0" fillId="0" borderId="10" xfId="0" applyNumberFormat="1" applyFont="1" applyBorder="1" applyAlignment="1">
      <alignment/>
    </xf>
    <xf numFmtId="49" fontId="0" fillId="0" borderId="0" xfId="0" applyNumberFormat="1" applyFont="1" applyBorder="1" applyAlignment="1">
      <alignment/>
    </xf>
    <xf numFmtId="188" fontId="34" fillId="0" borderId="0" xfId="53" applyNumberFormat="1" applyFont="1" applyFill="1" applyAlignment="1" applyProtection="1">
      <alignment/>
      <protection/>
    </xf>
    <xf numFmtId="188" fontId="1" fillId="0" borderId="0" xfId="0" applyNumberFormat="1" applyFont="1" applyFill="1" applyBorder="1" applyAlignment="1">
      <alignment/>
    </xf>
    <xf numFmtId="188" fontId="1" fillId="0" borderId="0" xfId="0" applyNumberFormat="1" applyFont="1" applyFill="1" applyBorder="1" applyAlignment="1">
      <alignment horizontal="center"/>
    </xf>
    <xf numFmtId="188" fontId="0" fillId="0" borderId="14" xfId="0" applyNumberFormat="1" applyFont="1" applyFill="1" applyBorder="1" applyAlignment="1">
      <alignment horizontal="center"/>
    </xf>
    <xf numFmtId="2" fontId="0" fillId="0" borderId="14" xfId="0" applyNumberFormat="1" applyFont="1" applyFill="1" applyBorder="1" applyAlignment="1">
      <alignment horizontal="center"/>
    </xf>
    <xf numFmtId="49" fontId="0" fillId="0" borderId="14"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0" applyFont="1" applyFill="1" applyBorder="1" applyAlignment="1" applyProtection="1">
      <alignment horizontal="center"/>
      <protection/>
    </xf>
    <xf numFmtId="188" fontId="0" fillId="0" borderId="29" xfId="0" applyNumberFormat="1" applyFont="1" applyFill="1" applyBorder="1" applyAlignment="1">
      <alignment horizontal="center"/>
    </xf>
    <xf numFmtId="2" fontId="0" fillId="0" borderId="29" xfId="0" applyNumberFormat="1" applyFont="1" applyFill="1" applyBorder="1" applyAlignment="1">
      <alignment horizontal="center"/>
    </xf>
    <xf numFmtId="49" fontId="0" fillId="0" borderId="29" xfId="0" applyNumberFormat="1" applyFont="1" applyFill="1" applyBorder="1" applyAlignment="1">
      <alignment horizontal="center" wrapText="1"/>
    </xf>
    <xf numFmtId="1" fontId="0" fillId="0" borderId="29" xfId="0" applyNumberFormat="1" applyFont="1" applyFill="1" applyBorder="1" applyAlignment="1">
      <alignment horizontal="center"/>
    </xf>
    <xf numFmtId="1" fontId="0" fillId="0" borderId="29" xfId="0" applyNumberFormat="1" applyFont="1" applyFill="1" applyBorder="1" applyAlignment="1">
      <alignment horizontal="center" wrapText="1"/>
    </xf>
    <xf numFmtId="188" fontId="1" fillId="0" borderId="0" xfId="0" applyNumberFormat="1" applyFont="1" applyFill="1" applyAlignment="1">
      <alignment horizontal="left"/>
    </xf>
    <xf numFmtId="1" fontId="0" fillId="0" borderId="20" xfId="0" applyNumberFormat="1" applyFont="1" applyFill="1" applyBorder="1" applyAlignment="1" applyProtection="1">
      <alignment horizontal="center"/>
      <protection/>
    </xf>
    <xf numFmtId="1" fontId="0" fillId="0" borderId="20" xfId="0" applyNumberFormat="1" applyFont="1" applyFill="1" applyBorder="1" applyAlignment="1">
      <alignment horizontal="center" wrapText="1"/>
    </xf>
    <xf numFmtId="188" fontId="0" fillId="25" borderId="0" xfId="0" applyNumberFormat="1" applyFont="1" applyFill="1" applyAlignment="1">
      <alignment horizontal="left"/>
    </xf>
    <xf numFmtId="188" fontId="0" fillId="25" borderId="0" xfId="0" applyNumberFormat="1" applyFont="1" applyFill="1" applyAlignment="1" quotePrefix="1">
      <alignment horizontal="right"/>
    </xf>
    <xf numFmtId="188" fontId="0" fillId="25" borderId="0" xfId="0" applyNumberFormat="1" applyFont="1" applyFill="1" applyBorder="1" applyAlignment="1" quotePrefix="1">
      <alignment/>
    </xf>
    <xf numFmtId="1" fontId="0" fillId="0" borderId="0" xfId="0" applyNumberFormat="1" applyFont="1" applyFill="1" applyBorder="1" applyAlignment="1" applyProtection="1">
      <alignment/>
      <protection/>
    </xf>
    <xf numFmtId="1" fontId="0" fillId="25" borderId="0" xfId="0" applyNumberFormat="1" applyFont="1" applyFill="1" applyAlignment="1">
      <alignment horizontal="left"/>
    </xf>
    <xf numFmtId="49" fontId="0" fillId="25" borderId="0" xfId="0" applyNumberFormat="1" applyFont="1" applyFill="1" applyAlignment="1" quotePrefix="1">
      <alignment horizontal="right"/>
    </xf>
    <xf numFmtId="170" fontId="0" fillId="25" borderId="0" xfId="0" applyNumberFormat="1" applyFont="1" applyFill="1" applyAlignment="1">
      <alignment horizontal="left"/>
    </xf>
    <xf numFmtId="188" fontId="0" fillId="0" borderId="0" xfId="0" applyNumberFormat="1" applyFont="1" applyFill="1" applyAlignment="1">
      <alignment horizontal="left"/>
    </xf>
    <xf numFmtId="1" fontId="0" fillId="25" borderId="0" xfId="0" applyNumberFormat="1" applyFont="1" applyFill="1" applyBorder="1" applyAlignment="1">
      <alignment/>
    </xf>
    <xf numFmtId="188" fontId="0" fillId="25" borderId="14" xfId="0" applyNumberFormat="1" applyFont="1" applyFill="1" applyBorder="1" applyAlignment="1">
      <alignment horizontal="center"/>
    </xf>
    <xf numFmtId="49" fontId="0" fillId="25" borderId="0" xfId="0" applyNumberFormat="1" applyFont="1" applyFill="1" applyBorder="1" applyAlignment="1">
      <alignment horizontal="right"/>
    </xf>
    <xf numFmtId="188" fontId="0" fillId="25" borderId="29" xfId="0" applyNumberFormat="1" applyFont="1" applyFill="1" applyBorder="1" applyAlignment="1">
      <alignment horizontal="center"/>
    </xf>
    <xf numFmtId="188" fontId="0" fillId="25" borderId="20" xfId="0" applyNumberFormat="1" applyFont="1" applyFill="1" applyBorder="1" applyAlignment="1">
      <alignment horizontal="center"/>
    </xf>
    <xf numFmtId="188" fontId="0" fillId="25" borderId="0" xfId="0" applyNumberFormat="1" applyFont="1" applyFill="1" applyBorder="1" applyAlignment="1">
      <alignment/>
    </xf>
    <xf numFmtId="49" fontId="0" fillId="25" borderId="0" xfId="0" applyNumberFormat="1" applyFont="1" applyFill="1" applyBorder="1" applyAlignment="1">
      <alignment horizontal="left"/>
    </xf>
    <xf numFmtId="188" fontId="0" fillId="25" borderId="13" xfId="0" applyNumberFormat="1" applyFont="1" applyFill="1" applyBorder="1" applyAlignment="1">
      <alignment horizontal="center"/>
    </xf>
    <xf numFmtId="188" fontId="0" fillId="25" borderId="10" xfId="0" applyNumberFormat="1" applyFont="1" applyFill="1" applyBorder="1" applyAlignment="1">
      <alignment horizontal="center"/>
    </xf>
    <xf numFmtId="188" fontId="0" fillId="0" borderId="0" xfId="0" applyNumberFormat="1" applyFont="1" applyFill="1" applyBorder="1" applyAlignment="1">
      <alignment horizontal="center"/>
    </xf>
    <xf numFmtId="171" fontId="0" fillId="0" borderId="26" xfId="57" applyNumberFormat="1" applyFont="1" applyFill="1" applyBorder="1" applyProtection="1">
      <alignment/>
      <protection/>
    </xf>
    <xf numFmtId="0" fontId="0" fillId="0" borderId="18" xfId="57" applyFont="1" applyBorder="1" applyProtection="1">
      <alignment/>
      <protection/>
    </xf>
    <xf numFmtId="1" fontId="0" fillId="0" borderId="0" xfId="0" applyNumberFormat="1" applyFont="1" applyFill="1" applyBorder="1" applyAlignment="1" applyProtection="1">
      <alignment horizontal="right" vertical="center"/>
      <protection/>
    </xf>
    <xf numFmtId="188" fontId="0" fillId="25" borderId="0" xfId="0" applyNumberFormat="1" applyFont="1" applyFill="1" applyAlignment="1" applyProtection="1">
      <alignment/>
      <protection/>
    </xf>
    <xf numFmtId="188" fontId="1"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protection/>
    </xf>
    <xf numFmtId="1" fontId="0" fillId="25" borderId="0" xfId="0" applyNumberFormat="1" applyFont="1" applyFill="1" applyBorder="1" applyAlignment="1" applyProtection="1">
      <alignment/>
      <protection/>
    </xf>
    <xf numFmtId="49" fontId="0" fillId="25" borderId="0" xfId="0" applyNumberFormat="1" applyFont="1" applyFill="1" applyAlignment="1" applyProtection="1" quotePrefix="1">
      <alignment/>
      <protection/>
    </xf>
    <xf numFmtId="1" fontId="0" fillId="25" borderId="0" xfId="0" applyNumberFormat="1" applyFont="1" applyFill="1" applyBorder="1" applyAlignment="1" applyProtection="1">
      <alignment horizontal="right"/>
      <protection/>
    </xf>
    <xf numFmtId="188" fontId="0" fillId="0" borderId="0" xfId="0" applyNumberFormat="1" applyFont="1" applyFill="1" applyBorder="1" applyAlignment="1" applyProtection="1">
      <alignment/>
      <protection/>
    </xf>
    <xf numFmtId="188" fontId="0" fillId="25" borderId="0" xfId="0" applyNumberFormat="1" applyFont="1" applyFill="1" applyBorder="1" applyAlignment="1" applyProtection="1">
      <alignment/>
      <protection/>
    </xf>
    <xf numFmtId="1" fontId="1" fillId="25" borderId="0" xfId="0" applyNumberFormat="1" applyFont="1" applyFill="1" applyBorder="1" applyAlignment="1" applyProtection="1">
      <alignment/>
      <protection/>
    </xf>
    <xf numFmtId="1" fontId="0" fillId="25" borderId="0" xfId="0" applyNumberFormat="1" applyFont="1" applyFill="1" applyBorder="1" applyAlignment="1" applyProtection="1">
      <alignment horizontal="center"/>
      <protection/>
    </xf>
    <xf numFmtId="49" fontId="0" fillId="25" borderId="0" xfId="0" applyNumberFormat="1" applyFont="1" applyFill="1" applyBorder="1" applyAlignment="1" applyProtection="1">
      <alignment/>
      <protection/>
    </xf>
    <xf numFmtId="49" fontId="0" fillId="25" borderId="0" xfId="0" applyNumberFormat="1" applyFont="1" applyFill="1" applyBorder="1" applyAlignment="1" applyProtection="1">
      <alignment horizontal="right"/>
      <protection/>
    </xf>
    <xf numFmtId="49" fontId="0" fillId="25" borderId="0" xfId="0" applyNumberFormat="1" applyFont="1" applyFill="1" applyAlignment="1" applyProtection="1">
      <alignment/>
      <protection/>
    </xf>
    <xf numFmtId="38" fontId="0" fillId="25" borderId="13" xfId="0" applyNumberFormat="1" applyFont="1" applyFill="1" applyBorder="1" applyAlignment="1" applyProtection="1">
      <alignment horizontal="right" vertical="center"/>
      <protection locked="0"/>
    </xf>
    <xf numFmtId="38" fontId="0" fillId="0" borderId="13" xfId="0" applyNumberFormat="1" applyFont="1" applyFill="1" applyBorder="1" applyAlignment="1" applyProtection="1">
      <alignment horizontal="right" vertical="center"/>
      <protection locked="0"/>
    </xf>
    <xf numFmtId="38" fontId="0" fillId="25" borderId="14" xfId="0" applyNumberFormat="1" applyFont="1" applyFill="1" applyBorder="1" applyAlignment="1" applyProtection="1">
      <alignment/>
      <protection/>
    </xf>
    <xf numFmtId="38" fontId="0" fillId="25" borderId="20"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38" fontId="0" fillId="25" borderId="20" xfId="0" applyNumberFormat="1" applyFont="1" applyFill="1" applyBorder="1" applyAlignment="1" applyProtection="1">
      <alignment/>
      <protection locked="0"/>
    </xf>
    <xf numFmtId="38" fontId="0" fillId="25" borderId="13" xfId="0" applyNumberFormat="1" applyFont="1" applyFill="1" applyBorder="1" applyAlignment="1" applyProtection="1">
      <alignment/>
      <protection locked="0"/>
    </xf>
    <xf numFmtId="37" fontId="0" fillId="0" borderId="17" xfId="0" applyNumberFormat="1" applyFont="1" applyBorder="1" applyAlignment="1" applyProtection="1">
      <alignment/>
      <protection/>
    </xf>
    <xf numFmtId="188" fontId="0" fillId="27" borderId="14" xfId="0" applyNumberFormat="1" applyFont="1" applyFill="1" applyBorder="1" applyAlignment="1">
      <alignment/>
    </xf>
    <xf numFmtId="188" fontId="0" fillId="27" borderId="29" xfId="0" applyNumberFormat="1" applyFont="1" applyFill="1" applyBorder="1" applyAlignment="1">
      <alignment/>
    </xf>
    <xf numFmtId="0" fontId="35" fillId="6" borderId="24" xfId="53" applyFont="1" applyFill="1" applyBorder="1" applyAlignment="1" applyProtection="1">
      <alignment/>
      <protection/>
    </xf>
    <xf numFmtId="0" fontId="13" fillId="6" borderId="27" xfId="53" applyFont="1" applyFill="1" applyBorder="1" applyAlignment="1" applyProtection="1">
      <alignment/>
      <protection/>
    </xf>
    <xf numFmtId="0" fontId="7" fillId="6" borderId="11" xfId="53" applyFont="1" applyFill="1" applyBorder="1" applyAlignment="1" applyProtection="1">
      <alignment/>
      <protection/>
    </xf>
    <xf numFmtId="0" fontId="13" fillId="6" borderId="0" xfId="53" applyFont="1" applyFill="1" applyAlignment="1" applyProtection="1">
      <alignment/>
      <protection/>
    </xf>
    <xf numFmtId="0" fontId="13" fillId="0" borderId="0" xfId="0" applyFont="1" applyAlignment="1">
      <alignment/>
    </xf>
    <xf numFmtId="49" fontId="13" fillId="6" borderId="0" xfId="53" applyNumberFormat="1" applyFont="1" applyFill="1" applyBorder="1" applyAlignment="1" applyProtection="1">
      <alignment horizontal="left"/>
      <protection/>
    </xf>
    <xf numFmtId="0" fontId="36" fillId="6" borderId="0" xfId="53" applyFont="1" applyFill="1" applyAlignment="1" applyProtection="1">
      <alignment/>
      <protection/>
    </xf>
    <xf numFmtId="0" fontId="13" fillId="0" borderId="0" xfId="0" applyFont="1" applyFill="1" applyAlignment="1">
      <alignment/>
    </xf>
    <xf numFmtId="49" fontId="13" fillId="6" borderId="0" xfId="53" applyNumberFormat="1" applyFont="1" applyFill="1" applyAlignment="1" applyProtection="1">
      <alignment/>
      <protection/>
    </xf>
    <xf numFmtId="0" fontId="13" fillId="0" borderId="0" xfId="53" applyFont="1" applyAlignment="1" applyProtection="1">
      <alignment/>
      <protection/>
    </xf>
    <xf numFmtId="188" fontId="13" fillId="27" borderId="29" xfId="53" applyNumberFormat="1" applyFont="1" applyFill="1" applyBorder="1" applyAlignment="1" applyProtection="1">
      <alignment horizontal="center"/>
      <protection/>
    </xf>
    <xf numFmtId="188" fontId="13" fillId="27" borderId="20" xfId="53" applyNumberFormat="1" applyFont="1" applyFill="1" applyBorder="1" applyAlignment="1" applyProtection="1">
      <alignment horizontal="center"/>
      <protection/>
    </xf>
    <xf numFmtId="188" fontId="13" fillId="27" borderId="0" xfId="53" applyNumberFormat="1" applyFont="1" applyFill="1" applyBorder="1" applyAlignment="1" applyProtection="1">
      <alignment/>
      <protection/>
    </xf>
    <xf numFmtId="188" fontId="13" fillId="27" borderId="0" xfId="53" applyNumberFormat="1" applyFont="1" applyFill="1" applyAlignment="1" applyProtection="1">
      <alignment/>
      <protection/>
    </xf>
    <xf numFmtId="188" fontId="13" fillId="27" borderId="0" xfId="0" applyNumberFormat="1" applyFont="1" applyFill="1" applyAlignment="1">
      <alignment/>
    </xf>
    <xf numFmtId="37" fontId="0" fillId="0" borderId="0" xfId="0" applyNumberFormat="1" applyFont="1" applyAlignment="1">
      <alignment/>
    </xf>
    <xf numFmtId="0" fontId="1" fillId="0" borderId="0" xfId="0" applyFont="1" applyFill="1" applyAlignment="1">
      <alignment/>
    </xf>
    <xf numFmtId="37" fontId="0" fillId="0" borderId="20" xfId="0" applyNumberFormat="1" applyFont="1" applyFill="1" applyBorder="1" applyAlignment="1">
      <alignment/>
    </xf>
    <xf numFmtId="37" fontId="0" fillId="0" borderId="29" xfId="0" applyNumberFormat="1" applyFont="1" applyFill="1" applyBorder="1" applyAlignment="1" applyProtection="1">
      <alignment/>
      <protection/>
    </xf>
    <xf numFmtId="0" fontId="1" fillId="0" borderId="13" xfId="0" applyFont="1" applyBorder="1" applyAlignment="1">
      <alignment horizontal="center" vertical="center" wrapText="1"/>
    </xf>
    <xf numFmtId="0" fontId="0" fillId="0" borderId="13" xfId="0" applyFont="1" applyBorder="1" applyAlignment="1">
      <alignment vertical="top" wrapText="1"/>
    </xf>
    <xf numFmtId="0" fontId="0" fillId="25" borderId="0" xfId="0" applyNumberFormat="1" applyFont="1" applyFill="1" applyAlignment="1">
      <alignment/>
    </xf>
    <xf numFmtId="188" fontId="0" fillId="25" borderId="13" xfId="0" applyNumberFormat="1" applyFont="1" applyFill="1" applyBorder="1" applyAlignment="1">
      <alignment horizontal="justify" vertical="top" wrapText="1"/>
    </xf>
    <xf numFmtId="188" fontId="0" fillId="25" borderId="14" xfId="0" applyNumberFormat="1" applyFont="1" applyFill="1" applyBorder="1" applyAlignment="1">
      <alignment horizontal="justify" vertical="top" wrapText="1"/>
    </xf>
    <xf numFmtId="188" fontId="35" fillId="0" borderId="0" xfId="53" applyNumberFormat="1" applyFont="1" applyFill="1" applyBorder="1" applyAlignment="1" applyProtection="1">
      <alignment/>
      <protection/>
    </xf>
    <xf numFmtId="188" fontId="0" fillId="0" borderId="0" xfId="0" applyNumberFormat="1" applyFont="1" applyFill="1" applyBorder="1" applyAlignment="1">
      <alignment/>
    </xf>
    <xf numFmtId="188" fontId="0" fillId="25" borderId="13" xfId="0" applyNumberFormat="1" applyFont="1" applyFill="1" applyBorder="1" applyAlignment="1">
      <alignment horizontal="justify" vertical="top"/>
    </xf>
    <xf numFmtId="188" fontId="0" fillId="25" borderId="13" xfId="0" applyNumberFormat="1" applyFont="1" applyFill="1" applyBorder="1" applyAlignment="1">
      <alignment horizontal="center" vertical="top" wrapText="1"/>
    </xf>
    <xf numFmtId="169" fontId="13" fillId="25" borderId="13" xfId="53" applyNumberFormat="1" applyFont="1" applyFill="1" applyBorder="1" applyAlignment="1" applyProtection="1">
      <alignment horizontal="center" vertical="top"/>
      <protection/>
    </xf>
    <xf numFmtId="188" fontId="0" fillId="0" borderId="13" xfId="0" applyNumberFormat="1" applyFont="1" applyFill="1" applyBorder="1" applyAlignment="1">
      <alignment horizontal="center" vertical="top"/>
    </xf>
    <xf numFmtId="188" fontId="0" fillId="0" borderId="13" xfId="0" applyNumberFormat="1" applyFont="1" applyFill="1" applyBorder="1" applyAlignment="1">
      <alignment horizontal="center" vertical="top" wrapText="1"/>
    </xf>
    <xf numFmtId="188" fontId="0" fillId="0" borderId="13" xfId="0" applyNumberFormat="1" applyFont="1" applyFill="1" applyBorder="1" applyAlignment="1">
      <alignment horizontal="justify" vertical="top" wrapText="1"/>
    </xf>
    <xf numFmtId="188" fontId="0" fillId="25" borderId="0" xfId="0" applyNumberFormat="1" applyFont="1" applyFill="1" applyBorder="1" applyAlignment="1">
      <alignment horizontal="justify" vertical="top"/>
    </xf>
    <xf numFmtId="169" fontId="13" fillId="0" borderId="13" xfId="53" applyNumberFormat="1" applyFont="1" applyFill="1" applyBorder="1" applyAlignment="1" applyProtection="1">
      <alignment horizontal="center" vertical="top"/>
      <protection/>
    </xf>
    <xf numFmtId="188" fontId="0" fillId="0" borderId="14" xfId="0" applyNumberFormat="1" applyFont="1" applyFill="1" applyBorder="1" applyAlignment="1">
      <alignment horizontal="center" vertical="top" wrapText="1"/>
    </xf>
    <xf numFmtId="0" fontId="0" fillId="0" borderId="0" xfId="0" applyNumberFormat="1" applyFont="1" applyFill="1" applyAlignment="1">
      <alignment/>
    </xf>
    <xf numFmtId="169" fontId="0" fillId="25" borderId="0" xfId="0" applyNumberFormat="1" applyFont="1" applyFill="1" applyBorder="1" applyAlignment="1">
      <alignment horizontal="center" vertical="top"/>
    </xf>
    <xf numFmtId="188" fontId="0" fillId="25" borderId="0" xfId="0" applyNumberFormat="1" applyFont="1" applyFill="1" applyBorder="1" applyAlignment="1">
      <alignment horizontal="center" vertical="top" wrapText="1"/>
    </xf>
    <xf numFmtId="49" fontId="13" fillId="6" borderId="14" xfId="0" applyNumberFormat="1" applyFont="1" applyFill="1" applyBorder="1" applyAlignment="1">
      <alignment horizontal="center" wrapText="1"/>
    </xf>
    <xf numFmtId="49" fontId="13" fillId="6" borderId="29" xfId="0" applyNumberFormat="1" applyFont="1" applyFill="1" applyBorder="1" applyAlignment="1">
      <alignment horizontal="center" wrapText="1"/>
    </xf>
    <xf numFmtId="2" fontId="13" fillId="6" borderId="29" xfId="53" applyNumberFormat="1" applyFont="1" applyFill="1" applyBorder="1" applyAlignment="1" applyProtection="1">
      <alignment horizontal="center"/>
      <protection/>
    </xf>
    <xf numFmtId="1" fontId="13" fillId="6" borderId="29" xfId="53" applyNumberFormat="1" applyFont="1" applyFill="1" applyBorder="1" applyAlignment="1" applyProtection="1">
      <alignment horizontal="center"/>
      <protection/>
    </xf>
    <xf numFmtId="188" fontId="13" fillId="25" borderId="13" xfId="53" applyNumberFormat="1" applyFont="1" applyFill="1" applyBorder="1" applyAlignment="1" applyProtection="1">
      <alignment horizontal="center" vertical="top"/>
      <protection/>
    </xf>
    <xf numFmtId="0" fontId="0" fillId="0" borderId="22" xfId="0" applyBorder="1" applyAlignment="1" applyProtection="1">
      <alignment horizontal="center" wrapText="1"/>
      <protection/>
    </xf>
    <xf numFmtId="0" fontId="13" fillId="0" borderId="0" xfId="53" applyFont="1" applyFill="1" applyAlignment="1" applyProtection="1">
      <alignment/>
      <protection/>
    </xf>
    <xf numFmtId="0" fontId="0" fillId="0" borderId="0" xfId="0" applyFont="1" applyFill="1" applyBorder="1" applyAlignment="1">
      <alignment vertical="top"/>
    </xf>
    <xf numFmtId="0" fontId="13" fillId="6" borderId="0" xfId="53" applyFont="1" applyFill="1" applyAlignment="1" applyProtection="1">
      <alignment/>
      <protection/>
    </xf>
    <xf numFmtId="0" fontId="0" fillId="0" borderId="0" xfId="0" applyBorder="1" applyAlignment="1">
      <alignment horizontal="justify" vertical="top"/>
    </xf>
    <xf numFmtId="0" fontId="0" fillId="0" borderId="0" xfId="0" applyFill="1" applyBorder="1" applyAlignment="1" applyProtection="1">
      <alignment/>
      <protection/>
    </xf>
    <xf numFmtId="0" fontId="0" fillId="0" borderId="24" xfId="0" applyFill="1" applyBorder="1" applyAlignment="1" applyProtection="1">
      <alignment/>
      <protection/>
    </xf>
    <xf numFmtId="0" fontId="0" fillId="0" borderId="18" xfId="0" applyBorder="1" applyAlignment="1" applyProtection="1">
      <alignment/>
      <protection/>
    </xf>
    <xf numFmtId="0" fontId="0" fillId="0" borderId="23" xfId="0" applyFont="1" applyBorder="1" applyAlignment="1" applyProtection="1">
      <alignment/>
      <protection/>
    </xf>
    <xf numFmtId="0" fontId="0" fillId="0" borderId="23" xfId="0" applyBorder="1" applyAlignment="1" applyProtection="1">
      <alignment/>
      <protection/>
    </xf>
    <xf numFmtId="0" fontId="0" fillId="0" borderId="0" xfId="0" applyFont="1" applyAlignment="1" quotePrefix="1">
      <alignment horizontal="left"/>
    </xf>
    <xf numFmtId="0" fontId="0" fillId="0" borderId="0" xfId="0" applyFont="1" applyAlignment="1" quotePrefix="1">
      <alignment horizontal="right"/>
    </xf>
    <xf numFmtId="49" fontId="0" fillId="0" borderId="0" xfId="0" applyNumberFormat="1" applyFont="1" applyAlignment="1" quotePrefix="1">
      <alignment horizontal="right"/>
    </xf>
    <xf numFmtId="37" fontId="0" fillId="0" borderId="14" xfId="0" applyNumberFormat="1" applyFont="1" applyFill="1" applyBorder="1" applyAlignment="1" applyProtection="1">
      <alignment/>
      <protection locked="0"/>
    </xf>
    <xf numFmtId="37" fontId="0" fillId="0" borderId="20" xfId="0" applyNumberFormat="1" applyFont="1" applyFill="1" applyBorder="1" applyAlignment="1" applyProtection="1">
      <alignment/>
      <protection locked="0"/>
    </xf>
    <xf numFmtId="37" fontId="0" fillId="0" borderId="0" xfId="0" applyNumberFormat="1" applyFont="1" applyBorder="1" applyAlignment="1" applyProtection="1">
      <alignment horizontal="right"/>
      <protection/>
    </xf>
    <xf numFmtId="188" fontId="0" fillId="25" borderId="22" xfId="0" applyNumberFormat="1" applyFont="1" applyFill="1" applyBorder="1" applyAlignment="1">
      <alignment horizontal="left"/>
    </xf>
    <xf numFmtId="0" fontId="13" fillId="6" borderId="0" xfId="53" applyFont="1" applyFill="1" applyAlignment="1" applyProtection="1">
      <alignment horizontal="right"/>
      <protection/>
    </xf>
    <xf numFmtId="0" fontId="3" fillId="0" borderId="29" xfId="0" applyFont="1" applyFill="1" applyBorder="1" applyAlignment="1">
      <alignment horizontal="center" wrapText="1"/>
    </xf>
    <xf numFmtId="0" fontId="3" fillId="0" borderId="20" xfId="0" applyFont="1" applyFill="1" applyBorder="1" applyAlignment="1">
      <alignment horizontal="center" wrapText="1"/>
    </xf>
    <xf numFmtId="168" fontId="0" fillId="0" borderId="0" xfId="0" applyNumberFormat="1" applyFont="1" applyFill="1" applyBorder="1" applyAlignment="1">
      <alignment horizontal="center"/>
    </xf>
    <xf numFmtId="37" fontId="0" fillId="0" borderId="0" xfId="0" applyNumberFormat="1" applyFont="1" applyBorder="1" applyAlignment="1" applyProtection="1">
      <alignment/>
      <protection/>
    </xf>
    <xf numFmtId="0" fontId="3" fillId="0" borderId="14" xfId="0" applyFont="1" applyFill="1" applyBorder="1" applyAlignment="1">
      <alignment horizontal="center" wrapText="1"/>
    </xf>
    <xf numFmtId="49" fontId="15" fillId="0" borderId="0" xfId="0" applyNumberFormat="1" applyFont="1" applyFill="1" applyBorder="1" applyAlignment="1" applyProtection="1">
      <alignment horizontal="right"/>
      <protection/>
    </xf>
    <xf numFmtId="0" fontId="0" fillId="0" borderId="0" xfId="0" applyFill="1" applyAlignment="1">
      <alignment/>
    </xf>
    <xf numFmtId="188" fontId="37" fillId="0" borderId="0" xfId="0" applyNumberFormat="1" applyFont="1" applyFill="1" applyBorder="1" applyAlignment="1" applyProtection="1">
      <alignment/>
      <protection/>
    </xf>
    <xf numFmtId="188" fontId="0" fillId="0" borderId="0" xfId="0" applyNumberFormat="1" applyFont="1" applyFill="1" applyBorder="1" applyAlignment="1" applyProtection="1">
      <alignment horizontal="center"/>
      <protection/>
    </xf>
    <xf numFmtId="0" fontId="0" fillId="0" borderId="0" xfId="0" applyFill="1" applyBorder="1" applyAlignment="1">
      <alignment/>
    </xf>
    <xf numFmtId="0" fontId="0" fillId="0" borderId="0" xfId="0" applyFont="1" applyFill="1" applyBorder="1" applyAlignment="1">
      <alignment/>
    </xf>
    <xf numFmtId="49" fontId="0" fillId="0" borderId="0" xfId="0" applyNumberFormat="1" applyFont="1" applyBorder="1" applyAlignment="1" quotePrefix="1">
      <alignment horizontal="left"/>
    </xf>
    <xf numFmtId="49" fontId="13" fillId="6" borderId="0" xfId="53" applyNumberFormat="1" applyFont="1" applyFill="1" applyAlignment="1" applyProtection="1">
      <alignment/>
      <protection/>
    </xf>
    <xf numFmtId="37" fontId="0" fillId="0" borderId="10" xfId="0" applyNumberFormat="1" applyFont="1" applyFill="1" applyBorder="1" applyAlignment="1" applyProtection="1">
      <alignment/>
      <protection/>
    </xf>
    <xf numFmtId="0" fontId="16" fillId="0" borderId="0" xfId="0" applyFont="1" applyAlignment="1">
      <alignment/>
    </xf>
    <xf numFmtId="49" fontId="16" fillId="0" borderId="0" xfId="0" applyNumberFormat="1" applyFont="1" applyFill="1" applyBorder="1" applyAlignment="1">
      <alignment vertical="top"/>
    </xf>
    <xf numFmtId="0" fontId="0" fillId="0" borderId="0" xfId="0" applyBorder="1" applyAlignment="1" applyProtection="1">
      <alignment/>
      <protection/>
    </xf>
    <xf numFmtId="0" fontId="0" fillId="0" borderId="0" xfId="0" applyFont="1" applyBorder="1" applyAlignment="1">
      <alignment/>
    </xf>
    <xf numFmtId="0" fontId="0" fillId="0" borderId="10" xfId="0" applyBorder="1" applyAlignment="1" applyProtection="1">
      <alignment/>
      <protection locked="0"/>
    </xf>
    <xf numFmtId="0" fontId="0" fillId="0" borderId="23" xfId="0" applyFont="1" applyBorder="1" applyAlignment="1" applyProtection="1">
      <alignment horizontal="center" vertical="top"/>
      <protection/>
    </xf>
    <xf numFmtId="0" fontId="0" fillId="0" borderId="10" xfId="0" applyBorder="1" applyAlignment="1" applyProtection="1">
      <alignment/>
      <protection/>
    </xf>
    <xf numFmtId="0" fontId="0" fillId="0" borderId="10" xfId="0" applyBorder="1" applyAlignment="1" applyProtection="1">
      <alignment horizontal="center"/>
      <protection locked="0"/>
    </xf>
    <xf numFmtId="0" fontId="0" fillId="0" borderId="23" xfId="0" applyBorder="1" applyAlignment="1" applyProtection="1">
      <alignment horizontal="center"/>
      <protection/>
    </xf>
    <xf numFmtId="0" fontId="0" fillId="0" borderId="0" xfId="0"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0" xfId="0" applyFont="1"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0" xfId="0" applyFill="1" applyBorder="1" applyAlignment="1" applyProtection="1">
      <alignment horizontal="left"/>
      <protection/>
    </xf>
    <xf numFmtId="0" fontId="0" fillId="0" borderId="22" xfId="0" applyFill="1" applyBorder="1" applyAlignment="1" applyProtection="1">
      <alignment horizontal="left"/>
      <protection/>
    </xf>
    <xf numFmtId="0" fontId="0" fillId="0" borderId="0" xfId="0" applyBorder="1" applyAlignment="1" applyProtection="1">
      <alignment horizontal="left" wrapText="1"/>
      <protection/>
    </xf>
    <xf numFmtId="0" fontId="0" fillId="0" borderId="22" xfId="0" applyBorder="1" applyAlignment="1" applyProtection="1">
      <alignment horizontal="left" wrapText="1"/>
      <protection/>
    </xf>
    <xf numFmtId="0" fontId="10" fillId="0" borderId="0" xfId="0" applyFont="1" applyFill="1" applyAlignment="1" applyProtection="1">
      <alignment horizontal="center"/>
      <protection/>
    </xf>
    <xf numFmtId="0" fontId="1" fillId="0" borderId="0" xfId="0" applyFont="1" applyBorder="1" applyAlignment="1" applyProtection="1">
      <alignment horizontal="left"/>
      <protection/>
    </xf>
    <xf numFmtId="37" fontId="0" fillId="0" borderId="11" xfId="0" applyNumberFormat="1" applyBorder="1" applyAlignment="1" applyProtection="1">
      <alignment horizontal="right"/>
      <protection/>
    </xf>
    <xf numFmtId="0" fontId="0" fillId="0" borderId="11" xfId="0" applyBorder="1" applyAlignment="1" applyProtection="1">
      <alignment horizontal="righ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justify" vertical="top" wrapText="1"/>
      <protection/>
    </xf>
    <xf numFmtId="37" fontId="0" fillId="0" borderId="10" xfId="0" applyNumberFormat="1" applyBorder="1" applyAlignment="1" applyProtection="1">
      <alignment horizontal="right"/>
      <protection/>
    </xf>
    <xf numFmtId="0" fontId="0" fillId="0" borderId="10" xfId="0" applyBorder="1" applyAlignment="1" applyProtection="1">
      <alignment horizontal="right"/>
      <protection/>
    </xf>
    <xf numFmtId="0" fontId="14" fillId="0" borderId="0" xfId="0" applyFont="1" applyFill="1" applyBorder="1" applyAlignment="1" applyProtection="1">
      <alignment horizontal="center"/>
      <protection/>
    </xf>
    <xf numFmtId="0" fontId="0" fillId="0" borderId="23" xfId="0" applyBorder="1" applyAlignment="1" applyProtection="1">
      <alignment horizontal="center" vertical="top"/>
      <protection/>
    </xf>
    <xf numFmtId="0" fontId="0" fillId="0" borderId="0" xfId="0" applyFont="1" applyFill="1" applyBorder="1" applyAlignment="1" applyProtection="1">
      <alignment horizontal="left" wrapText="1"/>
      <protection/>
    </xf>
    <xf numFmtId="0" fontId="0" fillId="0" borderId="0" xfId="0" applyBorder="1" applyAlignment="1" applyProtection="1">
      <alignment horizontal="center" vertical="top"/>
      <protection/>
    </xf>
    <xf numFmtId="0" fontId="0" fillId="0" borderId="0" xfId="0" applyFill="1" applyBorder="1" applyAlignment="1" applyProtection="1">
      <alignment horizontal="left" wrapText="1"/>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vertical="top" wrapText="1"/>
      <protection/>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pplyProtection="1">
      <alignment/>
      <protection locked="0"/>
    </xf>
    <xf numFmtId="0" fontId="0"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22" xfId="0" applyFont="1" applyFill="1" applyBorder="1" applyAlignment="1">
      <alignment/>
    </xf>
    <xf numFmtId="0" fontId="1" fillId="0" borderId="0" xfId="0" applyFont="1" applyAlignment="1">
      <alignment horizontal="left"/>
    </xf>
    <xf numFmtId="0" fontId="0" fillId="0" borderId="10" xfId="0" applyFont="1" applyFill="1" applyBorder="1" applyAlignment="1" applyProtection="1">
      <alignment/>
      <protection locked="0"/>
    </xf>
    <xf numFmtId="0" fontId="0" fillId="0" borderId="0" xfId="0" applyFont="1" applyAlignment="1">
      <alignment horizontal="left"/>
    </xf>
    <xf numFmtId="37" fontId="0" fillId="0" borderId="14" xfId="0" applyNumberFormat="1" applyFont="1" applyBorder="1" applyAlignment="1" applyProtection="1">
      <alignment/>
      <protection/>
    </xf>
    <xf numFmtId="37" fontId="0" fillId="0" borderId="20" xfId="0" applyNumberFormat="1" applyFont="1" applyBorder="1" applyAlignment="1" applyProtection="1">
      <alignment/>
      <protection/>
    </xf>
    <xf numFmtId="37" fontId="0" fillId="0" borderId="24" xfId="0" applyNumberFormat="1" applyFont="1" applyBorder="1" applyAlignment="1" applyProtection="1">
      <alignment/>
      <protection/>
    </xf>
    <xf numFmtId="37" fontId="0" fillId="0" borderId="25" xfId="0" applyNumberFormat="1" applyFont="1" applyBorder="1" applyAlignment="1" applyProtection="1">
      <alignment/>
      <protection/>
    </xf>
    <xf numFmtId="37" fontId="0" fillId="0" borderId="23" xfId="0" applyNumberFormat="1" applyFont="1" applyBorder="1" applyAlignment="1" applyProtection="1">
      <alignment/>
      <protection/>
    </xf>
    <xf numFmtId="37" fontId="0" fillId="0" borderId="10" xfId="0" applyNumberFormat="1" applyFont="1" applyBorder="1" applyAlignment="1" applyProtection="1">
      <alignment/>
      <protection/>
    </xf>
    <xf numFmtId="0" fontId="0" fillId="0" borderId="19" xfId="0" applyFont="1" applyBorder="1" applyAlignment="1">
      <alignment horizontal="center" wrapText="1"/>
    </xf>
    <xf numFmtId="0" fontId="0" fillId="0" borderId="22" xfId="0" applyFont="1" applyBorder="1" applyAlignment="1">
      <alignment horizontal="center" wrapText="1"/>
    </xf>
    <xf numFmtId="0" fontId="0" fillId="0" borderId="26" xfId="0" applyFont="1" applyBorder="1" applyAlignment="1">
      <alignment horizontal="center" wrapText="1"/>
    </xf>
    <xf numFmtId="0" fontId="0" fillId="0" borderId="14" xfId="0" applyFont="1" applyBorder="1" applyAlignment="1">
      <alignment horizontal="center"/>
    </xf>
    <xf numFmtId="10" fontId="0" fillId="0" borderId="14" xfId="0" applyNumberFormat="1" applyFont="1" applyFill="1" applyBorder="1" applyAlignment="1" applyProtection="1">
      <alignment/>
      <protection/>
    </xf>
    <xf numFmtId="10" fontId="0" fillId="0" borderId="20" xfId="0" applyNumberFormat="1" applyFont="1" applyFill="1" applyBorder="1" applyAlignment="1" applyProtection="1">
      <alignment/>
      <protection/>
    </xf>
    <xf numFmtId="10" fontId="0" fillId="0" borderId="19" xfId="0" applyNumberFormat="1" applyFont="1" applyFill="1" applyBorder="1" applyAlignment="1" applyProtection="1">
      <alignment/>
      <protection/>
    </xf>
    <xf numFmtId="10" fontId="0" fillId="0" borderId="26" xfId="0" applyNumberFormat="1" applyFont="1" applyFill="1" applyBorder="1" applyAlignment="1" applyProtection="1">
      <alignment/>
      <protection/>
    </xf>
    <xf numFmtId="37" fontId="0" fillId="0" borderId="22" xfId="0" applyNumberFormat="1" applyFont="1" applyBorder="1" applyAlignment="1" applyProtection="1">
      <alignment/>
      <protection/>
    </xf>
    <xf numFmtId="37" fontId="0" fillId="0" borderId="26" xfId="0" applyNumberFormat="1" applyFont="1" applyBorder="1" applyAlignment="1" applyProtection="1">
      <alignment/>
      <protection/>
    </xf>
    <xf numFmtId="0" fontId="0" fillId="0" borderId="27" xfId="57" applyFont="1" applyBorder="1" applyAlignment="1" applyProtection="1">
      <alignment horizontal="center"/>
      <protection/>
    </xf>
    <xf numFmtId="0" fontId="0" fillId="0" borderId="28" xfId="57" applyFont="1" applyBorder="1" applyAlignment="1" applyProtection="1">
      <alignment horizontal="center"/>
      <protection/>
    </xf>
    <xf numFmtId="37" fontId="0" fillId="0" borderId="14" xfId="57" applyNumberFormat="1" applyFont="1" applyBorder="1" applyProtection="1">
      <alignment/>
      <protection/>
    </xf>
    <xf numFmtId="37" fontId="0" fillId="0" borderId="29" xfId="57" applyNumberFormat="1" applyFont="1" applyBorder="1" applyProtection="1">
      <alignment/>
      <protection/>
    </xf>
    <xf numFmtId="37" fontId="0" fillId="0" borderId="20" xfId="57" applyNumberFormat="1" applyFont="1" applyBorder="1" applyProtection="1">
      <alignment/>
      <protection/>
    </xf>
    <xf numFmtId="0" fontId="1" fillId="0" borderId="10" xfId="57" applyFont="1" applyBorder="1" applyAlignment="1" applyProtection="1">
      <alignment horizontal="center"/>
      <protection/>
    </xf>
    <xf numFmtId="0" fontId="1" fillId="0" borderId="0" xfId="57" applyFont="1" applyBorder="1" applyAlignment="1" applyProtection="1">
      <alignment horizontal="center"/>
      <protection/>
    </xf>
    <xf numFmtId="0" fontId="0" fillId="0" borderId="10" xfId="57" applyFont="1" applyBorder="1" applyAlignment="1" applyProtection="1">
      <alignment horizontal="center"/>
      <protection/>
    </xf>
    <xf numFmtId="0" fontId="0" fillId="0" borderId="14" xfId="57" applyFont="1" applyBorder="1" applyAlignment="1" applyProtection="1">
      <alignment horizontal="center" wrapText="1"/>
      <protection/>
    </xf>
    <xf numFmtId="0" fontId="0" fillId="0" borderId="29" xfId="57" applyFont="1" applyBorder="1" applyAlignment="1" applyProtection="1">
      <alignment horizontal="center" wrapText="1"/>
      <protection/>
    </xf>
    <xf numFmtId="0" fontId="0" fillId="0" borderId="20" xfId="57" applyFont="1" applyBorder="1" applyAlignment="1" applyProtection="1">
      <alignment horizontal="center" wrapText="1"/>
      <protection/>
    </xf>
    <xf numFmtId="49" fontId="0" fillId="0" borderId="10" xfId="57" applyNumberFormat="1" applyFont="1" applyBorder="1" applyAlignment="1" applyProtection="1">
      <alignment horizontal="center"/>
      <protection/>
    </xf>
    <xf numFmtId="38" fontId="0" fillId="0" borderId="14" xfId="57" applyNumberFormat="1" applyFont="1" applyFill="1" applyBorder="1" applyProtection="1">
      <alignment/>
      <protection/>
    </xf>
    <xf numFmtId="38" fontId="0" fillId="0" borderId="29" xfId="57" applyNumberFormat="1" applyFont="1" applyFill="1" applyBorder="1" applyProtection="1">
      <alignment/>
      <protection/>
    </xf>
    <xf numFmtId="38" fontId="0" fillId="0" borderId="20" xfId="57" applyNumberFormat="1" applyFont="1" applyFill="1" applyBorder="1" applyProtection="1">
      <alignment/>
      <protection/>
    </xf>
    <xf numFmtId="38" fontId="0" fillId="0" borderId="14" xfId="57" applyNumberFormat="1" applyFont="1" applyBorder="1" applyAlignment="1" applyProtection="1">
      <alignment/>
      <protection/>
    </xf>
    <xf numFmtId="38" fontId="0" fillId="0" borderId="20" xfId="57" applyNumberFormat="1" applyFont="1" applyBorder="1" applyAlignment="1" applyProtection="1">
      <alignment/>
      <protection/>
    </xf>
    <xf numFmtId="38" fontId="0" fillId="0" borderId="14" xfId="57" applyNumberFormat="1" applyFont="1" applyBorder="1" applyProtection="1">
      <alignment/>
      <protection/>
    </xf>
    <xf numFmtId="38" fontId="0" fillId="0" borderId="29" xfId="57" applyNumberFormat="1" applyFont="1" applyBorder="1" applyProtection="1">
      <alignment/>
      <protection/>
    </xf>
    <xf numFmtId="38" fontId="0" fillId="0" borderId="20" xfId="57" applyNumberFormat="1" applyFont="1" applyBorder="1" applyProtection="1">
      <alignment/>
      <protection/>
    </xf>
    <xf numFmtId="171" fontId="0" fillId="0" borderId="19" xfId="57" applyNumberFormat="1" applyFont="1" applyBorder="1" applyAlignment="1" applyProtection="1">
      <alignment/>
      <protection/>
    </xf>
    <xf numFmtId="171" fontId="0" fillId="0" borderId="26" xfId="57" applyNumberFormat="1" applyFont="1" applyBorder="1" applyAlignment="1" applyProtection="1">
      <alignment/>
      <protection/>
    </xf>
    <xf numFmtId="0" fontId="1" fillId="0" borderId="18" xfId="0" applyFont="1" applyBorder="1" applyAlignment="1" applyProtection="1">
      <alignment horizontal="left" vertical="center"/>
      <protection/>
    </xf>
    <xf numFmtId="0" fontId="1" fillId="0" borderId="23" xfId="0" applyFont="1" applyBorder="1" applyAlignment="1" applyProtection="1">
      <alignment horizontal="left" vertical="center"/>
      <protection/>
    </xf>
    <xf numFmtId="0" fontId="1" fillId="0" borderId="19"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25"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0" fillId="0" borderId="27" xfId="0" applyFont="1" applyBorder="1" applyAlignment="1">
      <alignment horizontal="left"/>
    </xf>
    <xf numFmtId="0" fontId="0" fillId="0" borderId="11" xfId="0" applyFont="1" applyBorder="1" applyAlignment="1">
      <alignment horizontal="left"/>
    </xf>
    <xf numFmtId="38" fontId="0" fillId="0" borderId="14" xfId="57" applyNumberFormat="1" applyFont="1" applyFill="1" applyBorder="1" applyAlignment="1" applyProtection="1">
      <alignment/>
      <protection/>
    </xf>
    <xf numFmtId="38" fontId="0" fillId="0" borderId="20" xfId="57" applyNumberFormat="1" applyFont="1" applyFill="1" applyBorder="1" applyAlignment="1" applyProtection="1">
      <alignment/>
      <protection/>
    </xf>
    <xf numFmtId="38" fontId="0" fillId="0" borderId="14" xfId="57" applyNumberFormat="1" applyFont="1" applyFill="1" applyBorder="1" applyAlignment="1" applyProtection="1">
      <alignment horizontal="right"/>
      <protection/>
    </xf>
    <xf numFmtId="38" fontId="0" fillId="0" borderId="20" xfId="57" applyNumberFormat="1" applyFont="1" applyFill="1" applyBorder="1" applyAlignment="1" applyProtection="1">
      <alignment horizontal="right"/>
      <protection/>
    </xf>
    <xf numFmtId="171" fontId="0" fillId="21" borderId="14" xfId="0" applyNumberFormat="1" applyFont="1" applyFill="1" applyBorder="1" applyAlignment="1" applyProtection="1">
      <alignment horizontal="center"/>
      <protection/>
    </xf>
    <xf numFmtId="171" fontId="0" fillId="21" borderId="29" xfId="0" applyNumberFormat="1" applyFont="1" applyFill="1" applyBorder="1" applyAlignment="1" applyProtection="1">
      <alignment horizontal="center"/>
      <protection/>
    </xf>
    <xf numFmtId="171" fontId="0" fillId="21" borderId="20" xfId="0" applyNumberFormat="1" applyFont="1" applyFill="1" applyBorder="1" applyAlignment="1" applyProtection="1">
      <alignment horizontal="center"/>
      <protection/>
    </xf>
    <xf numFmtId="0" fontId="0" fillId="21" borderId="13" xfId="0" applyFill="1" applyBorder="1" applyAlignment="1" applyProtection="1">
      <alignment horizontal="center"/>
      <protection/>
    </xf>
    <xf numFmtId="0" fontId="0" fillId="21" borderId="14" xfId="0" applyFill="1" applyBorder="1" applyAlignment="1" applyProtection="1">
      <alignment horizontal="center"/>
      <protection/>
    </xf>
    <xf numFmtId="0" fontId="0" fillId="21" borderId="20" xfId="0" applyFill="1" applyBorder="1" applyAlignment="1" applyProtection="1">
      <alignment horizontal="center"/>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xf>
    <xf numFmtId="38" fontId="0" fillId="21" borderId="14" xfId="0" applyNumberFormat="1" applyFont="1" applyFill="1" applyBorder="1" applyAlignment="1" applyProtection="1">
      <alignment horizontal="center"/>
      <protection/>
    </xf>
    <xf numFmtId="38" fontId="0" fillId="21" borderId="29" xfId="0" applyNumberFormat="1" applyFont="1" applyFill="1" applyBorder="1" applyAlignment="1" applyProtection="1">
      <alignment horizontal="center"/>
      <protection/>
    </xf>
    <xf numFmtId="38" fontId="0" fillId="21" borderId="13" xfId="0" applyNumberFormat="1" applyFont="1" applyFill="1" applyBorder="1" applyAlignment="1" applyProtection="1">
      <alignment horizontal="center"/>
      <protection/>
    </xf>
    <xf numFmtId="38" fontId="0" fillId="0" borderId="14" xfId="0" applyNumberFormat="1" applyFont="1" applyFill="1" applyBorder="1" applyAlignment="1" applyProtection="1">
      <alignment/>
      <protection/>
    </xf>
    <xf numFmtId="38" fontId="0" fillId="0" borderId="29" xfId="0" applyNumberFormat="1" applyFont="1" applyFill="1" applyBorder="1" applyAlignment="1" applyProtection="1">
      <alignment/>
      <protection/>
    </xf>
    <xf numFmtId="38" fontId="0" fillId="0" borderId="20" xfId="0" applyNumberFormat="1" applyFont="1" applyFill="1" applyBorder="1" applyAlignment="1" applyProtection="1">
      <alignment/>
      <protection/>
    </xf>
    <xf numFmtId="38" fontId="0" fillId="0" borderId="29" xfId="0" applyNumberFormat="1" applyFont="1" applyBorder="1" applyAlignment="1" applyProtection="1">
      <alignment/>
      <protection/>
    </xf>
    <xf numFmtId="0" fontId="0"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38" fontId="0" fillId="0" borderId="14" xfId="0" applyNumberFormat="1" applyFont="1" applyFill="1" applyBorder="1" applyAlignment="1" applyProtection="1">
      <alignment horizontal="right"/>
      <protection/>
    </xf>
    <xf numFmtId="38" fontId="0" fillId="0" borderId="29" xfId="0" applyNumberFormat="1" applyFont="1" applyFill="1" applyBorder="1" applyAlignment="1" applyProtection="1">
      <alignment horizontal="righ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38" fontId="0" fillId="21" borderId="20" xfId="0" applyNumberFormat="1" applyFont="1" applyFill="1" applyBorder="1" applyAlignment="1" applyProtection="1">
      <alignment horizontal="center"/>
      <protection/>
    </xf>
    <xf numFmtId="0" fontId="0" fillId="0" borderId="27" xfId="0" applyFont="1" applyBorder="1" applyAlignment="1" applyProtection="1">
      <alignment horizontal="center"/>
      <protection/>
    </xf>
    <xf numFmtId="0" fontId="0" fillId="0" borderId="11" xfId="0" applyFont="1" applyBorder="1" applyAlignment="1" applyProtection="1">
      <alignment horizontal="center"/>
      <protection/>
    </xf>
    <xf numFmtId="38" fontId="0" fillId="0" borderId="14" xfId="0" applyNumberFormat="1" applyFont="1" applyBorder="1" applyAlignment="1" applyProtection="1">
      <alignment horizontal="right"/>
      <protection/>
    </xf>
    <xf numFmtId="38" fontId="0" fillId="0" borderId="29" xfId="0" applyNumberFormat="1" applyFont="1" applyBorder="1" applyAlignment="1" applyProtection="1">
      <alignment horizontal="right"/>
      <protection/>
    </xf>
    <xf numFmtId="38" fontId="0" fillId="0" borderId="20" xfId="0" applyNumberFormat="1" applyFont="1" applyBorder="1" applyAlignment="1" applyProtection="1">
      <alignment horizontal="right"/>
      <protection/>
    </xf>
    <xf numFmtId="37" fontId="0" fillId="0" borderId="13" xfId="0" applyNumberFormat="1" applyFont="1" applyBorder="1" applyAlignment="1" applyProtection="1">
      <alignment horizontal="right"/>
      <protection locked="0"/>
    </xf>
    <xf numFmtId="49" fontId="13" fillId="6" borderId="0" xfId="53" applyNumberFormat="1" applyFont="1" applyFill="1" applyBorder="1" applyAlignment="1" applyProtection="1">
      <alignment horizontal="left" vertical="top" wrapText="1"/>
      <protection/>
    </xf>
    <xf numFmtId="0" fontId="3" fillId="0" borderId="25" xfId="0" applyFont="1" applyFill="1" applyBorder="1" applyAlignment="1">
      <alignment horizontal="center" wrapText="1"/>
    </xf>
    <xf numFmtId="0" fontId="3" fillId="0" borderId="10" xfId="0" applyFont="1" applyFill="1" applyBorder="1" applyAlignment="1">
      <alignment horizontal="center" wrapText="1"/>
    </xf>
    <xf numFmtId="0" fontId="3" fillId="0" borderId="26" xfId="0" applyFont="1" applyFill="1" applyBorder="1" applyAlignment="1">
      <alignment horizontal="center" wrapText="1"/>
    </xf>
    <xf numFmtId="37" fontId="0" fillId="0" borderId="27"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0" fontId="13" fillId="6" borderId="0" xfId="53" applyFont="1" applyFill="1" applyAlignment="1" applyProtection="1">
      <alignment horizontal="left" vertical="top" wrapText="1"/>
      <protection/>
    </xf>
    <xf numFmtId="37" fontId="0" fillId="0" borderId="28" xfId="0" applyNumberFormat="1" applyFont="1" applyBorder="1" applyAlignment="1" applyProtection="1">
      <alignment horizontal="right"/>
      <protection locked="0"/>
    </xf>
    <xf numFmtId="0" fontId="3" fillId="0" borderId="18" xfId="0" applyFont="1" applyFill="1" applyBorder="1" applyAlignment="1">
      <alignment horizontal="center" wrapText="1"/>
    </xf>
    <xf numFmtId="0" fontId="3" fillId="0" borderId="23" xfId="0" applyFont="1" applyFill="1" applyBorder="1" applyAlignment="1">
      <alignment horizontal="center" wrapText="1"/>
    </xf>
    <xf numFmtId="0" fontId="3" fillId="0" borderId="19" xfId="0" applyFont="1" applyFill="1" applyBorder="1" applyAlignment="1">
      <alignment horizontal="center" wrapText="1"/>
    </xf>
    <xf numFmtId="0" fontId="13" fillId="6" borderId="0" xfId="53" applyFont="1" applyFill="1" applyAlignment="1" applyProtection="1">
      <alignment horizontal="center" vertical="top" wrapText="1"/>
      <protection/>
    </xf>
    <xf numFmtId="0" fontId="13" fillId="6" borderId="22" xfId="53" applyFont="1" applyFill="1" applyBorder="1" applyAlignment="1" applyProtection="1">
      <alignment horizontal="center" vertical="top" wrapText="1"/>
      <protection/>
    </xf>
    <xf numFmtId="0" fontId="3" fillId="0" borderId="24" xfId="0" applyFont="1" applyFill="1" applyBorder="1" applyAlignment="1">
      <alignment horizontal="center" wrapText="1"/>
    </xf>
    <xf numFmtId="0" fontId="3" fillId="0" borderId="0" xfId="0" applyFont="1" applyFill="1" applyBorder="1" applyAlignment="1">
      <alignment horizontal="center" wrapText="1"/>
    </xf>
    <xf numFmtId="0" fontId="3" fillId="0" borderId="22" xfId="0" applyFont="1" applyFill="1" applyBorder="1" applyAlignment="1">
      <alignment horizontal="center" wrapText="1"/>
    </xf>
    <xf numFmtId="37" fontId="0" fillId="0" borderId="31" xfId="0" applyNumberFormat="1" applyFont="1" applyBorder="1" applyAlignment="1">
      <alignment/>
    </xf>
    <xf numFmtId="37" fontId="0" fillId="0" borderId="17" xfId="0" applyNumberFormat="1" applyFont="1" applyBorder="1" applyAlignment="1">
      <alignment/>
    </xf>
    <xf numFmtId="0" fontId="0" fillId="0" borderId="27" xfId="0" applyFont="1" applyBorder="1" applyAlignment="1">
      <alignment horizontal="center"/>
    </xf>
    <xf numFmtId="0" fontId="0" fillId="0" borderId="11" xfId="0" applyFont="1" applyBorder="1" applyAlignment="1">
      <alignment horizontal="center"/>
    </xf>
    <xf numFmtId="0" fontId="0" fillId="0" borderId="28" xfId="0" applyFont="1" applyBorder="1" applyAlignment="1">
      <alignment horizontal="center"/>
    </xf>
    <xf numFmtId="0" fontId="13" fillId="6" borderId="0" xfId="53" applyFont="1" applyFill="1" applyAlignment="1" applyProtection="1">
      <alignment horizontal="left"/>
      <protection/>
    </xf>
    <xf numFmtId="0" fontId="13" fillId="6" borderId="0" xfId="53" applyFont="1" applyFill="1" applyBorder="1" applyAlignment="1" applyProtection="1">
      <alignment horizontal="left" wrapText="1"/>
      <protection/>
    </xf>
    <xf numFmtId="0" fontId="13" fillId="6" borderId="0" xfId="53" applyFont="1" applyFill="1" applyAlignment="1" applyProtection="1">
      <alignment horizontal="left"/>
      <protection/>
    </xf>
    <xf numFmtId="0" fontId="13" fillId="6" borderId="0" xfId="53" applyFont="1" applyFill="1" applyAlignment="1" applyProtection="1">
      <alignment vertical="top" wrapText="1"/>
      <protection/>
    </xf>
    <xf numFmtId="0" fontId="13" fillId="6" borderId="0" xfId="53" applyFont="1" applyFill="1" applyAlignment="1" applyProtection="1">
      <alignment horizontal="center"/>
      <protection/>
    </xf>
    <xf numFmtId="0" fontId="13" fillId="6" borderId="0" xfId="53" applyFont="1" applyFill="1" applyBorder="1" applyAlignment="1" applyProtection="1">
      <alignment horizontal="center"/>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0" xfId="0" applyFont="1" applyFill="1" applyAlignment="1">
      <alignment horizontal="left"/>
    </xf>
    <xf numFmtId="0" fontId="0" fillId="0" borderId="22" xfId="0" applyFont="1" applyFill="1" applyBorder="1" applyAlignment="1">
      <alignment horizontal="left"/>
    </xf>
    <xf numFmtId="188" fontId="0" fillId="25" borderId="0" xfId="0" applyNumberFormat="1" applyFont="1" applyFill="1" applyAlignment="1">
      <alignment horizontal="left"/>
    </xf>
    <xf numFmtId="188" fontId="0" fillId="25" borderId="22" xfId="0" applyNumberFormat="1" applyFont="1" applyFill="1" applyBorder="1" applyAlignment="1">
      <alignment horizontal="left"/>
    </xf>
    <xf numFmtId="188" fontId="0" fillId="25" borderId="0" xfId="0" applyNumberFormat="1" applyFont="1" applyFill="1" applyBorder="1" applyAlignment="1">
      <alignment horizontal="left"/>
    </xf>
    <xf numFmtId="49" fontId="0" fillId="0" borderId="0" xfId="0" applyNumberFormat="1" applyFont="1" applyBorder="1" applyAlignment="1">
      <alignment horizontal="center"/>
    </xf>
    <xf numFmtId="0" fontId="0" fillId="0" borderId="0" xfId="0" applyFont="1" applyBorder="1" applyAlignment="1">
      <alignment horizontal="center"/>
    </xf>
    <xf numFmtId="169" fontId="0" fillId="25" borderId="0" xfId="0" applyNumberFormat="1" applyFont="1" applyFill="1" applyBorder="1" applyAlignment="1">
      <alignment horizontal="right"/>
    </xf>
    <xf numFmtId="188" fontId="1" fillId="25" borderId="0" xfId="0" applyNumberFormat="1" applyFont="1" applyFill="1" applyBorder="1" applyAlignment="1">
      <alignment horizontal="center" vertical="center"/>
    </xf>
    <xf numFmtId="188" fontId="13" fillId="6" borderId="27" xfId="53" applyNumberFormat="1" applyFont="1" applyFill="1" applyBorder="1" applyAlignment="1" applyProtection="1">
      <alignment horizontal="center"/>
      <protection/>
    </xf>
    <xf numFmtId="188" fontId="13" fillId="6" borderId="11" xfId="53" applyNumberFormat="1" applyFont="1" applyFill="1" applyBorder="1" applyAlignment="1" applyProtection="1">
      <alignment horizontal="center"/>
      <protection/>
    </xf>
    <xf numFmtId="188" fontId="13" fillId="6" borderId="28" xfId="53" applyNumberFormat="1" applyFont="1" applyFill="1" applyBorder="1" applyAlignment="1" applyProtection="1">
      <alignment horizontal="center"/>
      <protection/>
    </xf>
    <xf numFmtId="188" fontId="1" fillId="25" borderId="0" xfId="0" applyNumberFormat="1" applyFont="1" applyFill="1" applyAlignment="1">
      <alignment horizontal="left"/>
    </xf>
    <xf numFmtId="188" fontId="13" fillId="25" borderId="18" xfId="53" applyNumberFormat="1" applyFont="1" applyFill="1" applyBorder="1" applyAlignment="1" applyProtection="1">
      <alignment horizontal="center" vertical="center"/>
      <protection/>
    </xf>
    <xf numFmtId="188" fontId="13" fillId="25" borderId="19" xfId="53" applyNumberFormat="1" applyFont="1" applyFill="1" applyBorder="1" applyAlignment="1" applyProtection="1">
      <alignment horizontal="center" vertical="center"/>
      <protection/>
    </xf>
    <xf numFmtId="188" fontId="13" fillId="25" borderId="24" xfId="53" applyNumberFormat="1" applyFont="1" applyFill="1" applyBorder="1" applyAlignment="1" applyProtection="1">
      <alignment horizontal="center" vertical="center"/>
      <protection/>
    </xf>
    <xf numFmtId="188" fontId="13" fillId="25" borderId="22" xfId="53" applyNumberFormat="1" applyFont="1" applyFill="1" applyBorder="1" applyAlignment="1" applyProtection="1">
      <alignment horizontal="center" vertical="center"/>
      <protection/>
    </xf>
    <xf numFmtId="188" fontId="13" fillId="25" borderId="25" xfId="53" applyNumberFormat="1" applyFont="1" applyFill="1" applyBorder="1" applyAlignment="1" applyProtection="1">
      <alignment horizontal="center" vertical="center"/>
      <protection/>
    </xf>
    <xf numFmtId="188" fontId="13" fillId="25" borderId="26" xfId="53" applyNumberFormat="1"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03" xfId="57"/>
    <cellStyle name="Note" xfId="58"/>
    <cellStyle name="Output" xfId="59"/>
    <cellStyle name="Percent" xfId="60"/>
    <cellStyle name="Title" xfId="61"/>
    <cellStyle name="Total" xfId="62"/>
    <cellStyle name="Warning Text" xfId="63"/>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ameCountyCTDSNumber"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eralPage1"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hyperlink" Target="#ExpensesPage2"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hyperlink" Target="#CurrentAssetsCurrentLiabilities"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hyperlink" Target="#TotalEnrollment" /><Relationship Id="rId2"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hyperlink" Target="#FederalAndStateProjectsPage9" /><Relationship Id="rId2"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hyperlink" Target="#GeneralPage10" /><Relationship Id="rId2" Type="http://schemas.openxmlformats.org/officeDocument/2006/relationships/image" Target="../media/image9.png" /><Relationship Id="rId3"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47625</xdr:colOff>
      <xdr:row>5</xdr:row>
      <xdr:rowOff>114300</xdr:rowOff>
    </xdr:to>
    <xdr:sp>
      <xdr:nvSpPr>
        <xdr:cNvPr id="1" name="TextBox 2">
          <a:hlinkClick r:id="rId1"/>
        </xdr:cNvPr>
        <xdr:cNvSpPr txBox="1">
          <a:spLocks noChangeArrowheads="1"/>
        </xdr:cNvSpPr>
      </xdr:nvSpPr>
      <xdr:spPr>
        <a:xfrm>
          <a:off x="0" y="6477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18</xdr:col>
      <xdr:colOff>57150</xdr:colOff>
      <xdr:row>2</xdr:row>
      <xdr:rowOff>47625</xdr:rowOff>
    </xdr:from>
    <xdr:to>
      <xdr:col>32</xdr:col>
      <xdr:colOff>400050</xdr:colOff>
      <xdr:row>8</xdr:row>
      <xdr:rowOff>47625</xdr:rowOff>
    </xdr:to>
    <xdr:pic>
      <xdr:nvPicPr>
        <xdr:cNvPr id="2" name="Picture 1"/>
        <xdr:cNvPicPr preferRelativeResize="1">
          <a:picLocks noChangeAspect="1"/>
        </xdr:cNvPicPr>
      </xdr:nvPicPr>
      <xdr:blipFill>
        <a:blip r:embed="rId2"/>
        <a:stretch>
          <a:fillRect/>
        </a:stretch>
      </xdr:blipFill>
      <xdr:spPr>
        <a:xfrm>
          <a:off x="10229850" y="371475"/>
          <a:ext cx="7810500"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161925</xdr:colOff>
      <xdr:row>3</xdr:row>
      <xdr:rowOff>104775</xdr:rowOff>
    </xdr:to>
    <xdr:sp>
      <xdr:nvSpPr>
        <xdr:cNvPr id="1" name="TextBox 1">
          <a:hlinkClick r:id="rId1"/>
        </xdr:cNvPr>
        <xdr:cNvSpPr txBox="1">
          <a:spLocks noChangeArrowheads="1"/>
        </xdr:cNvSpPr>
      </xdr:nvSpPr>
      <xdr:spPr>
        <a:xfrm>
          <a:off x="3114675" y="304800"/>
          <a:ext cx="952500" cy="26670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14</xdr:col>
      <xdr:colOff>28575</xdr:colOff>
      <xdr:row>2</xdr:row>
      <xdr:rowOff>28575</xdr:rowOff>
    </xdr:from>
    <xdr:to>
      <xdr:col>28</xdr:col>
      <xdr:colOff>371475</xdr:colOff>
      <xdr:row>23</xdr:row>
      <xdr:rowOff>104775</xdr:rowOff>
    </xdr:to>
    <xdr:pic>
      <xdr:nvPicPr>
        <xdr:cNvPr id="2" name="Picture 2"/>
        <xdr:cNvPicPr preferRelativeResize="1">
          <a:picLocks noChangeAspect="1"/>
        </xdr:cNvPicPr>
      </xdr:nvPicPr>
      <xdr:blipFill>
        <a:blip r:embed="rId2"/>
        <a:stretch>
          <a:fillRect/>
        </a:stretch>
      </xdr:blipFill>
      <xdr:spPr>
        <a:xfrm>
          <a:off x="9658350" y="333375"/>
          <a:ext cx="7810500" cy="3476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28575</xdr:rowOff>
    </xdr:from>
    <xdr:to>
      <xdr:col>2</xdr:col>
      <xdr:colOff>171450</xdr:colOff>
      <xdr:row>4</xdr:row>
      <xdr:rowOff>0</xdr:rowOff>
    </xdr:to>
    <xdr:sp>
      <xdr:nvSpPr>
        <xdr:cNvPr id="1" name="TextBox 4">
          <a:hlinkClick r:id="rId1"/>
        </xdr:cNvPr>
        <xdr:cNvSpPr txBox="1">
          <a:spLocks noChangeArrowheads="1"/>
        </xdr:cNvSpPr>
      </xdr:nvSpPr>
      <xdr:spPr>
        <a:xfrm>
          <a:off x="2228850" y="228600"/>
          <a:ext cx="981075" cy="3238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13</xdr:col>
      <xdr:colOff>57150</xdr:colOff>
      <xdr:row>2</xdr:row>
      <xdr:rowOff>9525</xdr:rowOff>
    </xdr:from>
    <xdr:to>
      <xdr:col>27</xdr:col>
      <xdr:colOff>390525</xdr:colOff>
      <xdr:row>12</xdr:row>
      <xdr:rowOff>28575</xdr:rowOff>
    </xdr:to>
    <xdr:pic>
      <xdr:nvPicPr>
        <xdr:cNvPr id="2" name="Picture 1"/>
        <xdr:cNvPicPr preferRelativeResize="1">
          <a:picLocks noChangeAspect="1"/>
        </xdr:cNvPicPr>
      </xdr:nvPicPr>
      <xdr:blipFill>
        <a:blip r:embed="rId2"/>
        <a:stretch>
          <a:fillRect/>
        </a:stretch>
      </xdr:blipFill>
      <xdr:spPr>
        <a:xfrm>
          <a:off x="10210800" y="209550"/>
          <a:ext cx="7800975" cy="1581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152400</xdr:rowOff>
    </xdr:from>
    <xdr:to>
      <xdr:col>1</xdr:col>
      <xdr:colOff>809625</xdr:colOff>
      <xdr:row>4</xdr:row>
      <xdr:rowOff>104775</xdr:rowOff>
    </xdr:to>
    <xdr:sp>
      <xdr:nvSpPr>
        <xdr:cNvPr id="1" name="TextBox 2">
          <a:hlinkClick r:id="rId1"/>
        </xdr:cNvPr>
        <xdr:cNvSpPr txBox="1">
          <a:spLocks noChangeArrowheads="1"/>
        </xdr:cNvSpPr>
      </xdr:nvSpPr>
      <xdr:spPr>
        <a:xfrm>
          <a:off x="66675" y="3048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21</xdr:col>
      <xdr:colOff>66675</xdr:colOff>
      <xdr:row>0</xdr:row>
      <xdr:rowOff>104775</xdr:rowOff>
    </xdr:from>
    <xdr:to>
      <xdr:col>35</xdr:col>
      <xdr:colOff>38100</xdr:colOff>
      <xdr:row>34</xdr:row>
      <xdr:rowOff>38100</xdr:rowOff>
    </xdr:to>
    <xdr:pic>
      <xdr:nvPicPr>
        <xdr:cNvPr id="2" name="Picture 1"/>
        <xdr:cNvPicPr preferRelativeResize="1">
          <a:picLocks noChangeAspect="1"/>
        </xdr:cNvPicPr>
      </xdr:nvPicPr>
      <xdr:blipFill>
        <a:blip r:embed="rId2"/>
        <a:stretch>
          <a:fillRect/>
        </a:stretch>
      </xdr:blipFill>
      <xdr:spPr>
        <a:xfrm>
          <a:off x="11791950" y="104775"/>
          <a:ext cx="7810500" cy="5448300"/>
        </a:xfrm>
        <a:prstGeom prst="rect">
          <a:avLst/>
        </a:prstGeom>
        <a:noFill/>
        <a:ln w="9525" cmpd="sng">
          <a:noFill/>
        </a:ln>
      </xdr:spPr>
    </xdr:pic>
    <xdr:clientData/>
  </xdr:twoCellAnchor>
  <xdr:twoCellAnchor editAs="oneCell">
    <xdr:from>
      <xdr:col>21</xdr:col>
      <xdr:colOff>76200</xdr:colOff>
      <xdr:row>34</xdr:row>
      <xdr:rowOff>28575</xdr:rowOff>
    </xdr:from>
    <xdr:to>
      <xdr:col>35</xdr:col>
      <xdr:colOff>38100</xdr:colOff>
      <xdr:row>66</xdr:row>
      <xdr:rowOff>9525</xdr:rowOff>
    </xdr:to>
    <xdr:pic>
      <xdr:nvPicPr>
        <xdr:cNvPr id="3" name="Picture 3"/>
        <xdr:cNvPicPr preferRelativeResize="1">
          <a:picLocks noChangeAspect="1"/>
        </xdr:cNvPicPr>
      </xdr:nvPicPr>
      <xdr:blipFill>
        <a:blip r:embed="rId3"/>
        <a:stretch>
          <a:fillRect/>
        </a:stretch>
      </xdr:blipFill>
      <xdr:spPr>
        <a:xfrm>
          <a:off x="11801475" y="5543550"/>
          <a:ext cx="7800975" cy="5943600"/>
        </a:xfrm>
        <a:prstGeom prst="rect">
          <a:avLst/>
        </a:prstGeom>
        <a:noFill/>
        <a:ln w="9525" cmpd="sng">
          <a:noFill/>
        </a:ln>
      </xdr:spPr>
    </xdr:pic>
    <xdr:clientData/>
  </xdr:twoCellAnchor>
  <xdr:twoCellAnchor editAs="oneCell">
    <xdr:from>
      <xdr:col>21</xdr:col>
      <xdr:colOff>76200</xdr:colOff>
      <xdr:row>65</xdr:row>
      <xdr:rowOff>152400</xdr:rowOff>
    </xdr:from>
    <xdr:to>
      <xdr:col>35</xdr:col>
      <xdr:colOff>38100</xdr:colOff>
      <xdr:row>103</xdr:row>
      <xdr:rowOff>123825</xdr:rowOff>
    </xdr:to>
    <xdr:pic>
      <xdr:nvPicPr>
        <xdr:cNvPr id="4" name="Picture 4"/>
        <xdr:cNvPicPr preferRelativeResize="1">
          <a:picLocks noChangeAspect="1"/>
        </xdr:cNvPicPr>
      </xdr:nvPicPr>
      <xdr:blipFill>
        <a:blip r:embed="rId4"/>
        <a:stretch>
          <a:fillRect/>
        </a:stretch>
      </xdr:blipFill>
      <xdr:spPr>
        <a:xfrm>
          <a:off x="11801475" y="11468100"/>
          <a:ext cx="7800975" cy="6124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342900</xdr:colOff>
      <xdr:row>3</xdr:row>
      <xdr:rowOff>28575</xdr:rowOff>
    </xdr:to>
    <xdr:sp>
      <xdr:nvSpPr>
        <xdr:cNvPr id="1" name="TextBox 1">
          <a:hlinkClick r:id="rId1"/>
        </xdr:cNvPr>
        <xdr:cNvSpPr txBox="1">
          <a:spLocks noChangeArrowheads="1"/>
        </xdr:cNvSpPr>
      </xdr:nvSpPr>
      <xdr:spPr>
        <a:xfrm>
          <a:off x="123825" y="238125"/>
          <a:ext cx="94297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23</xdr:col>
      <xdr:colOff>190500</xdr:colOff>
      <xdr:row>1</xdr:row>
      <xdr:rowOff>114300</xdr:rowOff>
    </xdr:from>
    <xdr:to>
      <xdr:col>38</xdr:col>
      <xdr:colOff>0</xdr:colOff>
      <xdr:row>14</xdr:row>
      <xdr:rowOff>114300</xdr:rowOff>
    </xdr:to>
    <xdr:pic>
      <xdr:nvPicPr>
        <xdr:cNvPr id="2" name="Picture 4"/>
        <xdr:cNvPicPr preferRelativeResize="1">
          <a:picLocks noChangeAspect="1"/>
        </xdr:cNvPicPr>
      </xdr:nvPicPr>
      <xdr:blipFill>
        <a:blip r:embed="rId2"/>
        <a:stretch>
          <a:fillRect/>
        </a:stretch>
      </xdr:blipFill>
      <xdr:spPr>
        <a:xfrm>
          <a:off x="10448925" y="276225"/>
          <a:ext cx="7810500" cy="2076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xdr:row>
      <xdr:rowOff>0</xdr:rowOff>
    </xdr:from>
    <xdr:to>
      <xdr:col>2</xdr:col>
      <xdr:colOff>400050</xdr:colOff>
      <xdr:row>4</xdr:row>
      <xdr:rowOff>104775</xdr:rowOff>
    </xdr:to>
    <xdr:sp>
      <xdr:nvSpPr>
        <xdr:cNvPr id="1" name="TextBox 1">
          <a:hlinkClick r:id="rId1"/>
        </xdr:cNvPr>
        <xdr:cNvSpPr txBox="1">
          <a:spLocks noChangeArrowheads="1"/>
        </xdr:cNvSpPr>
      </xdr:nvSpPr>
      <xdr:spPr>
        <a:xfrm>
          <a:off x="1771650" y="476250"/>
          <a:ext cx="962025" cy="26670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13</xdr:col>
      <xdr:colOff>104775</xdr:colOff>
      <xdr:row>1</xdr:row>
      <xdr:rowOff>66675</xdr:rowOff>
    </xdr:from>
    <xdr:to>
      <xdr:col>27</xdr:col>
      <xdr:colOff>438150</xdr:colOff>
      <xdr:row>12</xdr:row>
      <xdr:rowOff>104775</xdr:rowOff>
    </xdr:to>
    <xdr:pic>
      <xdr:nvPicPr>
        <xdr:cNvPr id="2" name="Picture 2"/>
        <xdr:cNvPicPr preferRelativeResize="1">
          <a:picLocks noChangeAspect="1"/>
        </xdr:cNvPicPr>
      </xdr:nvPicPr>
      <xdr:blipFill>
        <a:blip r:embed="rId2"/>
        <a:stretch>
          <a:fillRect/>
        </a:stretch>
      </xdr:blipFill>
      <xdr:spPr>
        <a:xfrm>
          <a:off x="9886950" y="219075"/>
          <a:ext cx="7800975" cy="1819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0</xdr:col>
      <xdr:colOff>1038225</xdr:colOff>
      <xdr:row>4</xdr:row>
      <xdr:rowOff>28575</xdr:rowOff>
    </xdr:to>
    <xdr:sp>
      <xdr:nvSpPr>
        <xdr:cNvPr id="1" name="TextBox 1">
          <a:hlinkClick r:id="rId1"/>
        </xdr:cNvPr>
        <xdr:cNvSpPr txBox="1">
          <a:spLocks noChangeArrowheads="1"/>
        </xdr:cNvSpPr>
      </xdr:nvSpPr>
      <xdr:spPr>
        <a:xfrm>
          <a:off x="66675" y="352425"/>
          <a:ext cx="971550" cy="2857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12</xdr:col>
      <xdr:colOff>133350</xdr:colOff>
      <xdr:row>2</xdr:row>
      <xdr:rowOff>0</xdr:rowOff>
    </xdr:from>
    <xdr:to>
      <xdr:col>24</xdr:col>
      <xdr:colOff>400050</xdr:colOff>
      <xdr:row>36</xdr:row>
      <xdr:rowOff>123825</xdr:rowOff>
    </xdr:to>
    <xdr:pic>
      <xdr:nvPicPr>
        <xdr:cNvPr id="2" name="Picture 2"/>
        <xdr:cNvPicPr preferRelativeResize="1">
          <a:picLocks noChangeAspect="1"/>
        </xdr:cNvPicPr>
      </xdr:nvPicPr>
      <xdr:blipFill>
        <a:blip r:embed="rId2"/>
        <a:stretch>
          <a:fillRect/>
        </a:stretch>
      </xdr:blipFill>
      <xdr:spPr>
        <a:xfrm>
          <a:off x="11601450" y="304800"/>
          <a:ext cx="7800975" cy="5305425"/>
        </a:xfrm>
        <a:prstGeom prst="rect">
          <a:avLst/>
        </a:prstGeom>
        <a:noFill/>
        <a:ln w="9525" cmpd="sng">
          <a:noFill/>
        </a:ln>
      </xdr:spPr>
    </xdr:pic>
    <xdr:clientData/>
  </xdr:twoCellAnchor>
  <xdr:twoCellAnchor editAs="oneCell">
    <xdr:from>
      <xdr:col>12</xdr:col>
      <xdr:colOff>133350</xdr:colOff>
      <xdr:row>36</xdr:row>
      <xdr:rowOff>104775</xdr:rowOff>
    </xdr:from>
    <xdr:to>
      <xdr:col>24</xdr:col>
      <xdr:colOff>400050</xdr:colOff>
      <xdr:row>72</xdr:row>
      <xdr:rowOff>142875</xdr:rowOff>
    </xdr:to>
    <xdr:pic>
      <xdr:nvPicPr>
        <xdr:cNvPr id="3" name="Picture 3"/>
        <xdr:cNvPicPr preferRelativeResize="1">
          <a:picLocks noChangeAspect="1"/>
        </xdr:cNvPicPr>
      </xdr:nvPicPr>
      <xdr:blipFill>
        <a:blip r:embed="rId3"/>
        <a:stretch>
          <a:fillRect/>
        </a:stretch>
      </xdr:blipFill>
      <xdr:spPr>
        <a:xfrm>
          <a:off x="11601450" y="5591175"/>
          <a:ext cx="7800975" cy="5800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nation\Downloads\afr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jnation\Downloads\budget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jnation\Downloads\afr18-food%20servic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chool%20Districts\USFR%20MEMOs\Pending\FY%202018%20AFR\2018%20A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ge 1"/>
      <sheetName val="Page 2"/>
      <sheetName val="Page 3"/>
      <sheetName val="Page 4"/>
      <sheetName val="Page 5"/>
      <sheetName val="Page 6"/>
      <sheetName val="Page 7"/>
      <sheetName val="Page 8"/>
      <sheetName val="Page 9"/>
      <sheetName val="Page 10"/>
      <sheetName val="Instructions"/>
    </sheetNames>
    <definedNames>
      <definedName name="AddlInstrImprProjEndBal" refersTo="=Page 5!$F$19"/>
      <definedName name="CashBal" refersTo="=Page 7!$F$6"/>
      <definedName name="CIP1072EndBal" refersTo="=Page 6!$O$48"/>
      <definedName name="CSP1011EndBal" refersTo="=Page 4!$F$38"/>
      <definedName name="CSP1012EndBal" refersTo="=Page 4!$G$38"/>
      <definedName name="CSP1013EndBal" refersTo="=Page 4!$H$38"/>
      <definedName name="FP11001130EndBal" refersTo="=Page 9!$L$6"/>
      <definedName name="FP11401150EndBal" refersTo="=Page 9!$L$7"/>
      <definedName name="FP1160EndBal" refersTo="=Page 9!$L$8"/>
      <definedName name="FP11701180EndBal" refersTo="=Page 9!$L$9"/>
      <definedName name="FP1190EndBal" refersTo="=Page 9!$L$10"/>
      <definedName name="FP1200EndBal" refersTo="=Page 9!$L$11"/>
      <definedName name="FP1210EndBal" refersTo="=Page 9!$L$12"/>
      <definedName name="FP1220EndBal" refersTo="=Page 9!$L$13"/>
      <definedName name="FP1230EndBal" refersTo="=Page 9!$L$14"/>
      <definedName name="FP1240EndBal" refersTo="=Page 9!$L$15"/>
      <definedName name="FP1250EndBal" refersTo="=Page 9!$L$16"/>
      <definedName name="FP1260EndBal" refersTo="=Page 9!$L$17"/>
      <definedName name="FP1280EndBal" refersTo="=Page 9!$L$18"/>
      <definedName name="FP1290EndBal" refersTo="=Page 9!$L$19"/>
      <definedName name="FP1300EndBal" refersTo="=Page 9!$L$20"/>
      <definedName name="FP13101399EndBal" refersTo="=Page 9!$L$22"/>
      <definedName name="SEIP1071EndBal" refersTo="=Page 6!$O$26"/>
      <definedName name="SP1000ClassSiteProj" refersTo="=Page 2!$J$42"/>
      <definedName name="SP1000CompInstrProj" refersTo="=Page 2!$J$45"/>
      <definedName name="SP1000FedStProj" refersTo="=Page 2!$J$46"/>
      <definedName name="SP1000InstrImpProj" refersTo="=Page 2!$J$43"/>
      <definedName name="SP1000P100F1000" refersTo="=Page 2!$J$6"/>
      <definedName name="SP1000P100F2100" refersTo="=Page 2!$J$8"/>
      <definedName name="SP1000P100F2200" refersTo="=Page 2!$J$10"/>
      <definedName name="SP1000P100F2300" refersTo="=Page 2!$J$11"/>
      <definedName name="SP1000P100F2400" refersTo="=Page 2!$J$12"/>
      <definedName name="SP1000P100F2500" refersTo="=Page 2!$J$13"/>
      <definedName name="SP1000P100F2600" refersTo="=Page 2!$J$14"/>
      <definedName name="SP1000P100F2900" refersTo="=Page 2!$J$15"/>
      <definedName name="SP1000P100F3000" refersTo="=Page 2!$J$16"/>
      <definedName name="SP1000P100F4000" refersTo="=Page 2!$J$17"/>
      <definedName name="SP1000P100F5000" refersTo="=Page 2!$J$18"/>
      <definedName name="SP1000P200F1000" refersTo="=Page 2!$J$23"/>
      <definedName name="SP1000P200F2100" refersTo="=Page 2!$J$25"/>
      <definedName name="SP1000P200F2200" refersTo="=Page 2!$J$27"/>
      <definedName name="SP1000P200F2300" refersTo="=Page 2!$J$28"/>
      <definedName name="SP1000P200F2400" refersTo="=Page 2!$J$29"/>
      <definedName name="SP1000P200F2500" refersTo="=Page 2!$J$30"/>
      <definedName name="SP1000P200F2600" refersTo="=Page 2!$J$31"/>
      <definedName name="SP1000P200F2900" refersTo="=Page 2!$J$32"/>
      <definedName name="SP1000P200F3000" refersTo="=Page 2!$J$33"/>
      <definedName name="SP1000P200F4000" refersTo="=Page 2!$J$34"/>
      <definedName name="SP1000P200F5000" refersTo="=Page 2!$J$35"/>
      <definedName name="SP1000P400" refersTo="=Page 2!$J$37"/>
      <definedName name="SP1000P530" refersTo="=Page 2!$J$38"/>
      <definedName name="SP1000P540" refersTo="=Page 2!$J$39"/>
      <definedName name="SP1000P550" refersTo="=Page 2!$J$40"/>
      <definedName name="SP1000P610" refersTo="=Page 2!$J$19"/>
      <definedName name="SP1000P620" refersTo="=Page 2!$J$20"/>
      <definedName name="SP1000P630700800900" refersTo="=Page 2!$J$21"/>
      <definedName name="SP1000StruEngImmProj" refersTo="=Page 2!$J$44"/>
      <definedName name="StP1400EndBal" refersTo="=Page 9!$L$25"/>
      <definedName name="StP1410EndBal" refersTo="=Page 9!$L$26"/>
      <definedName name="StP1420EndBal" refersTo="=Page 9!$L$27"/>
      <definedName name="StP1425EndBal" refersTo="=Page 9!$L$28"/>
      <definedName name="StP1430EndBal" refersTo="=Page 9!$L$29"/>
      <definedName name="StP1435EndBal" refersTo="=Page 9!$L$30"/>
      <definedName name="StP1450EndBal" refersTo="=Page 9!$L$31"/>
      <definedName name="StP1460EndBal" refersTo="=Page 9!$L$32"/>
      <definedName name="StP1465EndBal" refersTo="=Page 9!$L$33"/>
      <definedName name="StP14701499EndBal" refersTo="=Page 9!$L$34"/>
    </definedNames>
    <sheetDataSet>
      <sheetData sheetId="2">
        <row r="6">
          <cell r="J6">
            <v>657072</v>
          </cell>
        </row>
        <row r="8">
          <cell r="J8">
            <v>59423</v>
          </cell>
        </row>
        <row r="10">
          <cell r="J10">
            <v>78246</v>
          </cell>
        </row>
        <row r="11">
          <cell r="J11">
            <v>35563</v>
          </cell>
        </row>
        <row r="12">
          <cell r="J12">
            <v>313169</v>
          </cell>
        </row>
        <row r="13">
          <cell r="J13">
            <v>30891</v>
          </cell>
        </row>
        <row r="14">
          <cell r="J14">
            <v>241236</v>
          </cell>
        </row>
        <row r="15">
          <cell r="J15">
            <v>0</v>
          </cell>
        </row>
        <row r="16">
          <cell r="J16">
            <v>168713</v>
          </cell>
        </row>
        <row r="17">
          <cell r="J17">
            <v>0</v>
          </cell>
        </row>
        <row r="18">
          <cell r="J18">
            <v>0</v>
          </cell>
        </row>
        <row r="19">
          <cell r="J19">
            <v>0</v>
          </cell>
        </row>
        <row r="20">
          <cell r="J20">
            <v>0</v>
          </cell>
        </row>
        <row r="21">
          <cell r="J21">
            <v>0</v>
          </cell>
        </row>
        <row r="23">
          <cell r="J23">
            <v>0</v>
          </cell>
        </row>
        <row r="25">
          <cell r="J25">
            <v>0</v>
          </cell>
        </row>
        <row r="27">
          <cell r="J27">
            <v>0</v>
          </cell>
        </row>
        <row r="28">
          <cell r="J28">
            <v>0</v>
          </cell>
        </row>
        <row r="29">
          <cell r="J29">
            <v>0</v>
          </cell>
        </row>
        <row r="30">
          <cell r="J30">
            <v>0</v>
          </cell>
        </row>
        <row r="31">
          <cell r="J31">
            <v>0</v>
          </cell>
        </row>
        <row r="32">
          <cell r="J32">
            <v>0</v>
          </cell>
        </row>
        <row r="33">
          <cell r="J33">
            <v>0</v>
          </cell>
        </row>
        <row r="34">
          <cell r="J34">
            <v>0</v>
          </cell>
        </row>
        <row r="35">
          <cell r="J35">
            <v>0</v>
          </cell>
        </row>
        <row r="37">
          <cell r="J37">
            <v>189217</v>
          </cell>
        </row>
        <row r="38">
          <cell r="J38">
            <v>0</v>
          </cell>
        </row>
        <row r="39">
          <cell r="J39">
            <v>0</v>
          </cell>
        </row>
        <row r="40">
          <cell r="J40">
            <v>0</v>
          </cell>
        </row>
        <row r="42">
          <cell r="J42">
            <v>100000</v>
          </cell>
        </row>
        <row r="43">
          <cell r="J43">
            <v>11000</v>
          </cell>
        </row>
        <row r="44">
          <cell r="J44">
            <v>0</v>
          </cell>
        </row>
        <row r="45">
          <cell r="J45">
            <v>0</v>
          </cell>
        </row>
        <row r="46">
          <cell r="J46">
            <v>185975</v>
          </cell>
        </row>
      </sheetData>
      <sheetData sheetId="4">
        <row r="38">
          <cell r="F38">
            <v>0</v>
          </cell>
          <cell r="G38">
            <v>0</v>
          </cell>
          <cell r="H38">
            <v>0</v>
          </cell>
        </row>
      </sheetData>
      <sheetData sheetId="5">
        <row r="19">
          <cell r="F19">
            <v>0</v>
          </cell>
        </row>
      </sheetData>
      <sheetData sheetId="6">
        <row r="26">
          <cell r="O26">
            <v>0</v>
          </cell>
        </row>
        <row r="48">
          <cell r="O48">
            <v>0</v>
          </cell>
        </row>
      </sheetData>
      <sheetData sheetId="7">
        <row r="6">
          <cell r="F6">
            <v>231379</v>
          </cell>
        </row>
      </sheetData>
      <sheetData sheetId="9">
        <row r="6">
          <cell r="L6">
            <v>0</v>
          </cell>
        </row>
        <row r="7">
          <cell r="L7">
            <v>0</v>
          </cell>
        </row>
        <row r="8">
          <cell r="L8">
            <v>0</v>
          </cell>
        </row>
        <row r="9">
          <cell r="L9">
            <v>0</v>
          </cell>
        </row>
        <row r="10">
          <cell r="L10">
            <v>0</v>
          </cell>
        </row>
        <row r="11">
          <cell r="L11">
            <v>0</v>
          </cell>
        </row>
        <row r="12">
          <cell r="L12">
            <v>0</v>
          </cell>
        </row>
        <row r="13">
          <cell r="L13">
            <v>0</v>
          </cell>
        </row>
        <row r="14">
          <cell r="L14">
            <v>0</v>
          </cell>
        </row>
        <row r="15">
          <cell r="L15">
            <v>0</v>
          </cell>
        </row>
        <row r="16">
          <cell r="L16">
            <v>0</v>
          </cell>
        </row>
        <row r="17">
          <cell r="L17">
            <v>0</v>
          </cell>
        </row>
        <row r="18">
          <cell r="L18">
            <v>0</v>
          </cell>
        </row>
        <row r="19">
          <cell r="L19">
            <v>0</v>
          </cell>
        </row>
        <row r="20">
          <cell r="L20">
            <v>0</v>
          </cell>
        </row>
        <row r="21">
          <cell r="L21">
            <v>0</v>
          </cell>
        </row>
        <row r="22">
          <cell r="L22">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IP1072P265F1000" refersTo="=Page 4!$N$30"/>
      <definedName name="CIP1072P265F2100" refersTo="=Page 4!$N$32"/>
      <definedName name="CIP1072P265F2200" refersTo="=Page 4!$N$33"/>
      <definedName name="CIP1072P265F2300" refersTo="=Page 4!$N$34"/>
      <definedName name="CIP1072P265F2400" refersTo="=Page 4!$N$35"/>
      <definedName name="CIP1072P265F2500" refersTo="=Page 4!$N$36"/>
      <definedName name="CIP1072P265F2600" refersTo="=Page 4!$N$37"/>
      <definedName name="CIP1072P265F2900" refersTo="=Page 4!$N$38"/>
      <definedName name="CIP1072P435F2700" refersTo="=Page 4!$N$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2100" refersTo="=Page 4!$N$11"/>
      <definedName name="SEIP1071P260F2200" refersTo="=Page 4!$N$12"/>
      <definedName name="SEIP1071P260F2300" refersTo="=Page 4!$N$13"/>
      <definedName name="SEIP1071P260F2400" refersTo="=Page 4!$N$14"/>
      <definedName name="SEIP1071P260F2500" refersTo="=Page 4!$N$15"/>
      <definedName name="SEIP1071P260F2600" refersTo="=Page 4!$N$16"/>
      <definedName name="SEIP1071P260F2900" refersTo="=Page 4!$N$17"/>
      <definedName name="SEIP1071P430F2700" refersTo="=Page 4!$N$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s>
    <sheetDataSet>
      <sheetData sheetId="1">
        <row r="8">
          <cell r="L8">
            <v>867040</v>
          </cell>
        </row>
        <row r="10">
          <cell r="L10">
            <v>35822</v>
          </cell>
        </row>
        <row r="11">
          <cell r="L11">
            <v>0</v>
          </cell>
        </row>
        <row r="12">
          <cell r="L12">
            <v>19200</v>
          </cell>
        </row>
        <row r="13">
          <cell r="L13">
            <v>264512</v>
          </cell>
        </row>
        <row r="14">
          <cell r="L14">
            <v>21870</v>
          </cell>
        </row>
        <row r="15">
          <cell r="L15">
            <v>176330</v>
          </cell>
        </row>
        <row r="16">
          <cell r="L16">
            <v>131480</v>
          </cell>
        </row>
        <row r="17">
          <cell r="L17">
            <v>175352</v>
          </cell>
        </row>
        <row r="18">
          <cell r="L18">
            <v>0</v>
          </cell>
        </row>
        <row r="19">
          <cell r="L19">
            <v>0</v>
          </cell>
        </row>
        <row r="20">
          <cell r="L20">
            <v>0</v>
          </cell>
        </row>
        <row r="21">
          <cell r="L21">
            <v>0</v>
          </cell>
        </row>
        <row r="22">
          <cell r="L22">
            <v>0</v>
          </cell>
        </row>
        <row r="25">
          <cell r="L25">
            <v>31457</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4">
          <cell r="L44">
            <v>91560</v>
          </cell>
        </row>
        <row r="45">
          <cell r="L45">
            <v>10308</v>
          </cell>
        </row>
        <row r="46">
          <cell r="L46">
            <v>0</v>
          </cell>
        </row>
        <row r="47">
          <cell r="L47">
            <v>0</v>
          </cell>
        </row>
        <row r="48">
          <cell r="L48">
            <v>186400</v>
          </cell>
        </row>
      </sheetData>
      <sheetData sheetId="2">
        <row r="5">
          <cell r="E5">
            <v>143500</v>
          </cell>
          <cell r="N5">
            <v>72257</v>
          </cell>
        </row>
        <row r="6">
          <cell r="E6">
            <v>2100</v>
          </cell>
        </row>
        <row r="12">
          <cell r="E12">
            <v>40800</v>
          </cell>
        </row>
        <row r="18">
          <cell r="N18">
            <v>0</v>
          </cell>
        </row>
        <row r="19">
          <cell r="N19">
            <v>0</v>
          </cell>
        </row>
        <row r="20">
          <cell r="N20">
            <v>0</v>
          </cell>
        </row>
        <row r="21">
          <cell r="N21">
            <v>10308</v>
          </cell>
        </row>
      </sheetData>
      <sheetData sheetId="3">
        <row r="9">
          <cell r="K9">
            <v>18312</v>
          </cell>
        </row>
        <row r="10">
          <cell r="K10">
            <v>0</v>
          </cell>
        </row>
        <row r="11">
          <cell r="K11">
            <v>0</v>
          </cell>
        </row>
        <row r="14">
          <cell r="K14">
            <v>0</v>
          </cell>
        </row>
        <row r="15">
          <cell r="K15">
            <v>0</v>
          </cell>
        </row>
        <row r="16">
          <cell r="K16">
            <v>0</v>
          </cell>
        </row>
        <row r="19">
          <cell r="K19">
            <v>0</v>
          </cell>
        </row>
        <row r="20">
          <cell r="K20">
            <v>0</v>
          </cell>
        </row>
        <row r="21">
          <cell r="K21">
            <v>0</v>
          </cell>
        </row>
        <row r="26">
          <cell r="K26">
            <v>36624</v>
          </cell>
        </row>
        <row r="27">
          <cell r="K27">
            <v>0</v>
          </cell>
        </row>
        <row r="28">
          <cell r="K28">
            <v>0</v>
          </cell>
        </row>
        <row r="31">
          <cell r="K31">
            <v>0</v>
          </cell>
        </row>
        <row r="32">
          <cell r="K32">
            <v>0</v>
          </cell>
        </row>
        <row r="33">
          <cell r="K33">
            <v>0</v>
          </cell>
        </row>
        <row r="36">
          <cell r="K36">
            <v>0</v>
          </cell>
        </row>
        <row r="37">
          <cell r="K37">
            <v>0</v>
          </cell>
        </row>
        <row r="38">
          <cell r="K38">
            <v>0</v>
          </cell>
        </row>
        <row r="43">
          <cell r="K43">
            <v>36624</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od Service AFR"/>
      <sheetName val="Instructions"/>
    </sheetNames>
    <sheetDataSet>
      <sheetData sheetId="0">
        <row r="7">
          <cell r="E7">
            <v>1506</v>
          </cell>
        </row>
        <row r="10">
          <cell r="E10">
            <v>96423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Page 5"/>
      <sheetName val="Page 6"/>
      <sheetName val="Page 7"/>
      <sheetName val="Page 8"/>
      <sheetName val="Page 9"/>
      <sheetName val="Summary"/>
      <sheetName val="Supplement"/>
      <sheetName val="Instructions"/>
      <sheetName val="Excel Hi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T38"/>
  <sheetViews>
    <sheetView showGridLines="0" tabSelected="1" workbookViewId="0" topLeftCell="A1">
      <selection activeCell="O37" sqref="O37"/>
    </sheetView>
  </sheetViews>
  <sheetFormatPr defaultColWidth="9.33203125" defaultRowHeight="12.75"/>
  <cols>
    <col min="1" max="1" width="9.66015625" style="53" customWidth="1"/>
    <col min="2" max="2" width="6.33203125" style="53" customWidth="1"/>
    <col min="3" max="3" width="5.5" style="53" customWidth="1"/>
    <col min="4" max="4" width="9.66015625" style="53" customWidth="1"/>
    <col min="5" max="5" width="6.33203125" style="53" customWidth="1"/>
    <col min="6" max="6" width="13.16015625" style="53" customWidth="1"/>
    <col min="7" max="7" width="7.83203125" style="53" customWidth="1"/>
    <col min="8" max="8" width="3.5" style="52" customWidth="1"/>
    <col min="9" max="9" width="13.16015625" style="52" customWidth="1"/>
    <col min="10" max="12" width="9.33203125" style="52" customWidth="1"/>
    <col min="13" max="13" width="11" style="52" customWidth="1"/>
    <col min="14" max="14" width="20" style="52" customWidth="1"/>
    <col min="15" max="15" width="17.33203125" style="52" customWidth="1"/>
    <col min="16" max="16" width="7.16015625" style="52" customWidth="1"/>
    <col min="17" max="17" width="3.33203125" style="52" customWidth="1"/>
    <col min="18" max="18" width="16" style="52" customWidth="1"/>
    <col min="19" max="16384" width="9.33203125" style="52" customWidth="1"/>
  </cols>
  <sheetData>
    <row r="1" spans="1:18" ht="12.75" customHeight="1">
      <c r="A1" s="543" t="s">
        <v>422</v>
      </c>
      <c r="B1" s="543"/>
      <c r="C1" s="543"/>
      <c r="D1" s="531" t="s">
        <v>7</v>
      </c>
      <c r="E1" s="531"/>
      <c r="F1" s="531"/>
      <c r="G1" s="531"/>
      <c r="H1" s="531"/>
      <c r="I1" s="531"/>
      <c r="J1" s="49"/>
      <c r="K1" s="50"/>
      <c r="L1" s="96" t="s">
        <v>423</v>
      </c>
      <c r="M1" s="531" t="s">
        <v>9</v>
      </c>
      <c r="N1" s="531"/>
      <c r="O1"/>
      <c r="P1"/>
      <c r="Q1" s="97" t="s">
        <v>399</v>
      </c>
      <c r="R1" s="51" t="s">
        <v>10</v>
      </c>
    </row>
    <row r="2" spans="1:18" ht="12.75" customHeight="1">
      <c r="A2" s="70"/>
      <c r="B2" s="70"/>
      <c r="C2" s="70"/>
      <c r="D2" s="532" t="s">
        <v>397</v>
      </c>
      <c r="E2" s="532"/>
      <c r="F2" s="532"/>
      <c r="G2" s="532"/>
      <c r="H2" s="532"/>
      <c r="I2" s="532"/>
      <c r="J2" s="49"/>
      <c r="K2" s="50"/>
      <c r="L2" s="552">
        <f>IF('Page 2'!J47=0,"",IF(OR(L3&lt;&gt;"",L5&lt;&gt;"",L7&lt;&gt;"",L8&lt;&gt;"",L9&lt;&gt;"",L11&lt;&gt;"",L13&lt;&gt;"",L14&lt;&gt;"",L15&lt;&gt;"",L17&lt;&gt;"",A12&lt;&gt;""),"ALERT: The following items need to be addressed before the AFR is submitted",""))</f>
      </c>
      <c r="M2" s="552"/>
      <c r="N2" s="552"/>
      <c r="O2" s="552"/>
      <c r="P2" s="552"/>
      <c r="Q2" s="552"/>
      <c r="R2" s="552"/>
    </row>
    <row r="3" spans="1:18" ht="12.75" customHeight="1">
      <c r="A3" s="70"/>
      <c r="B3" s="70"/>
      <c r="C3" s="70"/>
      <c r="D3" s="531" t="s">
        <v>8</v>
      </c>
      <c r="E3" s="531"/>
      <c r="F3" s="531"/>
      <c r="G3" s="531"/>
      <c r="H3" s="531"/>
      <c r="I3" s="531"/>
      <c r="J3" s="49"/>
      <c r="K3" s="50"/>
      <c r="L3" s="556">
        <f>IF('Page 2'!J47=0,"",IF(OR('Page 4'!F35&lt;=0,'Page 4'!G35&lt;=0,'Page 4'!H35&lt;=0),"See Pages 3 and 4. Classroom Site Project information is not complete. Ensure that all revenues and expenses  have been included.",""))</f>
      </c>
      <c r="M3" s="556"/>
      <c r="N3" s="556"/>
      <c r="O3" s="556"/>
      <c r="P3" s="556"/>
      <c r="Q3" s="556"/>
      <c r="R3" s="556"/>
    </row>
    <row r="4" spans="1:18" ht="12.75" customHeight="1">
      <c r="A4" s="70"/>
      <c r="B4" s="70"/>
      <c r="C4" s="70"/>
      <c r="D4" s="532" t="s">
        <v>398</v>
      </c>
      <c r="E4" s="532"/>
      <c r="F4" s="532"/>
      <c r="G4" s="532"/>
      <c r="H4" s="532"/>
      <c r="I4" s="532"/>
      <c r="J4" s="49"/>
      <c r="K4" s="50"/>
      <c r="L4" s="556"/>
      <c r="M4" s="556"/>
      <c r="N4" s="556"/>
      <c r="O4" s="556"/>
      <c r="P4" s="556"/>
      <c r="Q4" s="556"/>
      <c r="R4" s="556"/>
    </row>
    <row r="5" spans="1:18" ht="12.75" customHeight="1">
      <c r="A5" s="70"/>
      <c r="B5" s="70"/>
      <c r="C5" s="70"/>
      <c r="D5" s="49"/>
      <c r="E5" s="49"/>
      <c r="F5" s="49"/>
      <c r="G5" s="49"/>
      <c r="H5" s="49"/>
      <c r="I5" s="49"/>
      <c r="J5" s="49"/>
      <c r="K5" s="50"/>
      <c r="L5" s="556">
        <f>IF('Page 2'!J47=0,"",IF('Page 5'!F16&lt;=0,"Page 5, Instructional Improvement Project information is not complete. Ensure that all revenues and expenses have been included.",""))</f>
      </c>
      <c r="M5" s="556"/>
      <c r="N5" s="556"/>
      <c r="O5" s="556"/>
      <c r="P5" s="556"/>
      <c r="Q5" s="556"/>
      <c r="R5" s="556"/>
    </row>
    <row r="6" spans="1:18" ht="18" customHeight="1">
      <c r="A6" s="54"/>
      <c r="B6" s="542" t="s">
        <v>58</v>
      </c>
      <c r="C6" s="542"/>
      <c r="D6" s="542"/>
      <c r="E6" s="542"/>
      <c r="F6" s="542"/>
      <c r="G6" s="542"/>
      <c r="H6" s="542"/>
      <c r="I6" s="542"/>
      <c r="J6" s="56"/>
      <c r="L6" s="556"/>
      <c r="M6" s="556"/>
      <c r="N6" s="556"/>
      <c r="O6" s="556"/>
      <c r="P6" s="556"/>
      <c r="Q6" s="556"/>
      <c r="R6" s="556"/>
    </row>
    <row r="7" spans="1:18" ht="18" customHeight="1">
      <c r="A7" s="54"/>
      <c r="B7" s="54"/>
      <c r="C7" s="54"/>
      <c r="D7" s="54"/>
      <c r="E7" s="54"/>
      <c r="F7" s="54"/>
      <c r="G7" s="54"/>
      <c r="H7" s="49"/>
      <c r="I7" s="49"/>
      <c r="J7" s="55"/>
      <c r="L7" s="538">
        <f>IF('Page 2'!J47=0,"",IF(OR('Page 7'!G30&lt;=0,'Page 7'!G31&lt;=0,'Page 7'!G32&lt;=0,'Page 7'!G33&lt;=0,'Page 7'!G34&lt;=0,'Page 7'!G36&lt;=0,'Page 7'!G37&lt;=0),"Page 7, Section E, Current Expenses table is not complete.",""))</f>
      </c>
      <c r="M7" s="538"/>
      <c r="N7" s="538"/>
      <c r="O7" s="538"/>
      <c r="P7" s="538"/>
      <c r="Q7" s="538"/>
      <c r="R7" s="538"/>
    </row>
    <row r="8" spans="1:18" ht="18" customHeight="1">
      <c r="A8" s="59"/>
      <c r="B8" s="534" t="s">
        <v>379</v>
      </c>
      <c r="C8" s="534"/>
      <c r="D8" s="534"/>
      <c r="E8" s="534"/>
      <c r="F8" s="534"/>
      <c r="G8" s="534"/>
      <c r="H8" s="534"/>
      <c r="I8" s="534"/>
      <c r="J8" s="56"/>
      <c r="K8" s="50"/>
      <c r="L8" s="557">
        <f>IF('Page 2'!J47=0,"",IF(SUM('Page 7'!M19:T23)&lt;=0,"Page 7, Section G, Teachers Salaries table is not complete.",""))</f>
      </c>
      <c r="M8" s="557"/>
      <c r="N8" s="557"/>
      <c r="O8" s="557"/>
      <c r="P8" s="557"/>
      <c r="Q8" s="557"/>
      <c r="R8" s="557"/>
    </row>
    <row r="9" spans="1:18" ht="12.75" customHeight="1">
      <c r="A9" s="59"/>
      <c r="B9" s="59"/>
      <c r="C9" s="59"/>
      <c r="D9" s="59"/>
      <c r="E9" s="59"/>
      <c r="F9" s="59"/>
      <c r="G9" s="59"/>
      <c r="H9" s="49"/>
      <c r="I9" s="49"/>
      <c r="J9" s="55"/>
      <c r="K9" s="50"/>
      <c r="L9" s="556">
        <f>IF('Page 2'!J47=0,"",IF(AND('Page 2'!J36&gt;0,'Page 8'!T23&lt;&gt;'Page 2'!J36),"Page 8, Section C, Special Education Programs By Type table does not include all Program 200 SPED expenditures. This total should agree to Page 2, line 27.",""))</f>
      </c>
      <c r="M9" s="556"/>
      <c r="N9" s="556"/>
      <c r="O9" s="556"/>
      <c r="P9" s="556"/>
      <c r="Q9" s="556"/>
      <c r="R9" s="556"/>
    </row>
    <row r="10" spans="1:18" ht="12.75" customHeight="1">
      <c r="A10" s="59"/>
      <c r="B10" s="535" t="s">
        <v>381</v>
      </c>
      <c r="C10" s="535"/>
      <c r="D10" s="535"/>
      <c r="E10" s="535"/>
      <c r="F10" s="535"/>
      <c r="G10" s="535"/>
      <c r="H10" s="535"/>
      <c r="I10" s="535"/>
      <c r="J10" s="56"/>
      <c r="L10" s="556"/>
      <c r="M10" s="556"/>
      <c r="N10" s="556"/>
      <c r="O10" s="556"/>
      <c r="P10" s="556"/>
      <c r="Q10" s="556"/>
      <c r="R10" s="556"/>
    </row>
    <row r="11" spans="1:18" ht="12.75" customHeight="1">
      <c r="A11" s="538"/>
      <c r="B11" s="538"/>
      <c r="C11" s="538"/>
      <c r="D11" s="538"/>
      <c r="E11" s="538"/>
      <c r="F11" s="538"/>
      <c r="G11" s="538"/>
      <c r="H11" s="538"/>
      <c r="I11" s="538"/>
      <c r="J11" s="539"/>
      <c r="K11" s="50"/>
      <c r="L11" s="554">
        <f>IF('Page 2'!J47=0,"",IF((SUM('Page 2'!J47))&gt;(SUM('Page 10'!D24:J24)+SUM('Page 10'!D31:D34)+'Page 10'!D45),"Page 10, NPEFS information is not accurate based on amounts reported throughout the AFR.",""))</f>
      </c>
      <c r="M11" s="554"/>
      <c r="N11" s="554"/>
      <c r="O11" s="554"/>
      <c r="P11" s="554"/>
      <c r="Q11" s="554"/>
      <c r="R11" s="554"/>
    </row>
    <row r="12" spans="1:18" ht="23.25" customHeight="1">
      <c r="A12" s="540">
        <f>IF('Page 2'!J47=0,"",IF(OR('Page 7'!T30=""),"Page 7, Section H, FY 2018 Additional Teacher Salary Increases table is not complete.",""))</f>
      </c>
      <c r="B12" s="540"/>
      <c r="C12" s="540"/>
      <c r="D12" s="540"/>
      <c r="E12" s="540"/>
      <c r="F12" s="540"/>
      <c r="G12" s="540"/>
      <c r="H12" s="540"/>
      <c r="I12" s="540"/>
      <c r="J12" s="541"/>
      <c r="K12" s="64"/>
      <c r="L12" s="554"/>
      <c r="M12" s="554"/>
      <c r="N12" s="554"/>
      <c r="O12" s="554"/>
      <c r="P12" s="554"/>
      <c r="Q12" s="554"/>
      <c r="R12" s="554"/>
    </row>
    <row r="13" spans="1:18" ht="25.5" customHeight="1">
      <c r="A13" s="49"/>
      <c r="B13" s="49"/>
      <c r="C13" s="49"/>
      <c r="D13" s="49"/>
      <c r="E13" s="49"/>
      <c r="F13" s="49"/>
      <c r="G13" s="49"/>
      <c r="H13" s="50"/>
      <c r="I13" s="50"/>
      <c r="J13" s="57"/>
      <c r="K13" s="50"/>
      <c r="L13" s="554">
        <f>IF('Page 2'!J47=0,"",IF('Page 1'!H33&lt;('Page 9'!F23+'[3]Food Service AFR'!E10+'[3]Food Service AFR'!E11),"Federal Revenues on Page 1 should be greater than or equal to Federal Revenues for projects 1100-1399 on Page 9 and the Federal Revenues reported on the Food Service AFR, lines 4 &amp; 5.",""))</f>
      </c>
      <c r="M13" s="554"/>
      <c r="N13" s="554"/>
      <c r="O13" s="554"/>
      <c r="P13" s="554"/>
      <c r="Q13" s="554"/>
      <c r="R13" s="554"/>
    </row>
    <row r="14" spans="1:18" ht="26.25" customHeight="1">
      <c r="A14" s="49"/>
      <c r="B14" s="536" t="s">
        <v>18</v>
      </c>
      <c r="C14" s="537"/>
      <c r="D14" s="537"/>
      <c r="E14" s="537"/>
      <c r="F14" s="537"/>
      <c r="G14" s="537"/>
      <c r="H14" s="537"/>
      <c r="I14" s="537"/>
      <c r="J14" s="57"/>
      <c r="K14" s="50"/>
      <c r="L14" s="558">
        <f>IF('Page 2'!J47=0,"",IF(OR('Page 7'!G14="",'Page 7'!G15="",'Page 7'!G16="",'Page 7'!G17="",'Page 7'!G18=""),"Page 7, Section C is not complete.  If no capital acquisitions were made, please enter a 0 value for each line.",""))</f>
      </c>
      <c r="M14" s="558"/>
      <c r="N14" s="558"/>
      <c r="O14" s="558"/>
      <c r="P14" s="558"/>
      <c r="Q14" s="558"/>
      <c r="R14" s="558"/>
    </row>
    <row r="15" spans="10:18" ht="12.75" customHeight="1">
      <c r="J15" s="492"/>
      <c r="K15" s="50"/>
      <c r="L15" s="554">
        <f>IF('Page 2'!J47=0,"",IF(OR('Page 10'!D38="",'Page 10'!D39="",'Page 10'!D40="",'Page 10'!D41=""),"Page 10, Property Disbursements by Type Table is not complete. If no disbursements made, please enter a 0 value as this information is needed for NPEFS reporting.",""))</f>
      </c>
      <c r="M15" s="554"/>
      <c r="N15" s="554"/>
      <c r="O15" s="554"/>
      <c r="P15" s="554"/>
      <c r="Q15" s="554"/>
      <c r="R15" s="554"/>
    </row>
    <row r="16" spans="1:20" ht="12.75" customHeight="1">
      <c r="A16" s="49"/>
      <c r="B16" s="49"/>
      <c r="C16" s="49"/>
      <c r="D16" s="49"/>
      <c r="E16" s="49"/>
      <c r="F16" s="49"/>
      <c r="G16" s="49"/>
      <c r="H16" s="50"/>
      <c r="I16" s="50"/>
      <c r="J16" s="57"/>
      <c r="K16" s="50"/>
      <c r="L16" s="554"/>
      <c r="M16" s="554"/>
      <c r="N16" s="554"/>
      <c r="O16" s="554"/>
      <c r="P16" s="554"/>
      <c r="Q16" s="554"/>
      <c r="R16" s="554"/>
      <c r="S16" s="49"/>
      <c r="T16" s="49"/>
    </row>
    <row r="17" spans="1:20" ht="12.75" customHeight="1">
      <c r="A17" s="49"/>
      <c r="B17" s="50"/>
      <c r="C17" s="50"/>
      <c r="D17" s="50"/>
      <c r="E17" s="50"/>
      <c r="F17" s="50"/>
      <c r="G17" s="50"/>
      <c r="H17" s="50"/>
      <c r="I17" s="50"/>
      <c r="J17" s="57"/>
      <c r="K17" s="50"/>
      <c r="L17" s="554">
        <f>IF('Page 2'!J47=0,"",IF(SUM('Page 4'!F33:H33)+SUM('Page 5'!F16)+SUM('Page 6'!G8)+SUM('Page 6'!G30)&gt;'Page 1'!H22,"Page 1, line 16. 3200-Restricted revenues should be greater than or equal to total revenue amounts on Pages 4-6 for CSP, IIP, SEIP and CIP.",""))</f>
      </c>
      <c r="M17" s="554"/>
      <c r="N17" s="554"/>
      <c r="O17" s="554"/>
      <c r="P17" s="554"/>
      <c r="Q17" s="554"/>
      <c r="R17" s="554"/>
      <c r="S17" s="53"/>
      <c r="T17" s="53"/>
    </row>
    <row r="18" spans="1:20" ht="12.75" customHeight="1">
      <c r="A18" s="530"/>
      <c r="B18" s="530"/>
      <c r="C18" s="530"/>
      <c r="D18" s="530"/>
      <c r="E18" s="530"/>
      <c r="F18" s="58"/>
      <c r="G18" s="531"/>
      <c r="H18" s="531"/>
      <c r="I18" s="531"/>
      <c r="J18" s="57"/>
      <c r="L18" s="554"/>
      <c r="M18" s="554"/>
      <c r="N18" s="554"/>
      <c r="O18" s="554"/>
      <c r="P18" s="554"/>
      <c r="Q18" s="554"/>
      <c r="R18" s="554"/>
      <c r="S18" s="58"/>
      <c r="T18" s="58"/>
    </row>
    <row r="19" spans="1:20" ht="12.75" customHeight="1">
      <c r="A19" s="49"/>
      <c r="B19" s="49"/>
      <c r="C19" s="49"/>
      <c r="D19" s="49"/>
      <c r="E19" s="49"/>
      <c r="F19" s="49"/>
      <c r="G19" s="49"/>
      <c r="H19" s="59"/>
      <c r="I19" s="59"/>
      <c r="J19" s="56"/>
      <c r="L19" s="546" t="s">
        <v>38</v>
      </c>
      <c r="M19" s="547"/>
      <c r="N19" s="547"/>
      <c r="O19" s="547"/>
      <c r="P19" s="547"/>
      <c r="Q19" s="547"/>
      <c r="R19" s="547"/>
      <c r="S19" s="58"/>
      <c r="T19" s="58"/>
    </row>
    <row r="20" spans="1:18" ht="12.75" customHeight="1">
      <c r="A20" s="530"/>
      <c r="B20" s="530"/>
      <c r="C20" s="530"/>
      <c r="D20" s="530"/>
      <c r="E20" s="530"/>
      <c r="F20" s="58"/>
      <c r="G20" s="531"/>
      <c r="H20" s="531"/>
      <c r="I20" s="531"/>
      <c r="J20" s="56"/>
      <c r="L20" s="160" t="s">
        <v>54</v>
      </c>
      <c r="N20" s="66">
        <v>43388</v>
      </c>
      <c r="O20" s="549" t="s">
        <v>382</v>
      </c>
      <c r="P20" s="549"/>
      <c r="Q20" s="549"/>
      <c r="R20" s="549"/>
    </row>
    <row r="21" spans="1:18" ht="12.75" customHeight="1">
      <c r="A21" s="61"/>
      <c r="B21" s="61"/>
      <c r="C21" s="61"/>
      <c r="D21" s="61"/>
      <c r="E21" s="61"/>
      <c r="F21" s="49"/>
      <c r="G21" s="61"/>
      <c r="H21" s="50"/>
      <c r="I21" s="50"/>
      <c r="J21" s="56"/>
      <c r="L21" s="548" t="s">
        <v>383</v>
      </c>
      <c r="M21" s="548"/>
      <c r="N21" s="548"/>
      <c r="O21" s="60"/>
      <c r="P21" s="60"/>
      <c r="Q21" s="60"/>
      <c r="R21" s="60"/>
    </row>
    <row r="22" spans="1:18" ht="12.75" customHeight="1">
      <c r="A22" s="530"/>
      <c r="B22" s="530"/>
      <c r="C22" s="530"/>
      <c r="D22" s="530"/>
      <c r="E22" s="530"/>
      <c r="F22" s="58"/>
      <c r="G22" s="531"/>
      <c r="H22" s="531"/>
      <c r="I22" s="531"/>
      <c r="J22" s="56"/>
      <c r="L22" s="53"/>
      <c r="M22" s="60"/>
      <c r="N22" s="60"/>
      <c r="O22" s="60"/>
      <c r="P22" s="60"/>
      <c r="Q22" s="60"/>
      <c r="R22" s="60"/>
    </row>
    <row r="23" spans="1:18" ht="12.75" customHeight="1">
      <c r="A23" s="61"/>
      <c r="B23" s="61"/>
      <c r="C23" s="61"/>
      <c r="D23" s="61"/>
      <c r="E23" s="61"/>
      <c r="F23" s="49"/>
      <c r="G23" s="61"/>
      <c r="H23" s="50"/>
      <c r="I23" s="50"/>
      <c r="J23" s="57"/>
      <c r="L23" s="530"/>
      <c r="M23" s="530"/>
      <c r="N23" s="530"/>
      <c r="O23" s="53"/>
      <c r="P23" s="531"/>
      <c r="Q23" s="531"/>
      <c r="R23" s="531"/>
    </row>
    <row r="24" spans="1:18" ht="12.75" customHeight="1">
      <c r="A24" s="530"/>
      <c r="B24" s="530"/>
      <c r="C24" s="530"/>
      <c r="D24" s="530"/>
      <c r="E24" s="530"/>
      <c r="F24" s="58"/>
      <c r="G24" s="531"/>
      <c r="H24" s="531"/>
      <c r="I24" s="531"/>
      <c r="J24" s="57"/>
      <c r="L24" s="529" t="s">
        <v>132</v>
      </c>
      <c r="M24" s="553"/>
      <c r="N24" s="553"/>
      <c r="O24" s="53"/>
      <c r="P24" s="553" t="s">
        <v>303</v>
      </c>
      <c r="Q24" s="553"/>
      <c r="R24" s="553"/>
    </row>
    <row r="25" spans="1:18" ht="12.75" customHeight="1">
      <c r="A25" s="49"/>
      <c r="B25" s="49"/>
      <c r="C25" s="49"/>
      <c r="D25" s="59"/>
      <c r="E25" s="59"/>
      <c r="F25" s="59"/>
      <c r="G25" s="59"/>
      <c r="H25" s="63"/>
      <c r="I25" s="63"/>
      <c r="J25" s="57"/>
      <c r="L25" s="528" t="s">
        <v>11</v>
      </c>
      <c r="M25" s="528"/>
      <c r="N25" s="528"/>
      <c r="O25" s="49"/>
      <c r="P25" s="49"/>
      <c r="Q25" s="49"/>
      <c r="R25" s="49"/>
    </row>
    <row r="26" spans="1:14" s="53" customFormat="1" ht="12.75" customHeight="1">
      <c r="A26" s="530"/>
      <c r="B26" s="530"/>
      <c r="C26" s="530"/>
      <c r="D26" s="530"/>
      <c r="E26" s="530"/>
      <c r="F26" s="58"/>
      <c r="G26" s="531"/>
      <c r="H26" s="531"/>
      <c r="I26" s="531"/>
      <c r="J26" s="57"/>
      <c r="L26" s="529" t="s">
        <v>105</v>
      </c>
      <c r="M26" s="553"/>
      <c r="N26" s="553"/>
    </row>
    <row r="27" spans="1:18" s="53" customFormat="1" ht="12.75" customHeight="1">
      <c r="A27" s="49"/>
      <c r="B27" s="49"/>
      <c r="C27" s="49"/>
      <c r="D27" s="59"/>
      <c r="E27" s="59"/>
      <c r="F27" s="59"/>
      <c r="G27" s="59"/>
      <c r="H27" s="63"/>
      <c r="I27" s="63"/>
      <c r="J27" s="62"/>
      <c r="L27" s="533"/>
      <c r="M27" s="533"/>
      <c r="N27" s="533"/>
      <c r="O27" s="496"/>
      <c r="P27" s="555"/>
      <c r="Q27" s="555"/>
      <c r="R27" s="555"/>
    </row>
    <row r="28" spans="1:18" s="53" customFormat="1" ht="12.75" customHeight="1">
      <c r="A28" s="530"/>
      <c r="B28" s="530"/>
      <c r="C28" s="530"/>
      <c r="D28" s="530"/>
      <c r="E28" s="530"/>
      <c r="F28" s="58"/>
      <c r="G28" s="531"/>
      <c r="H28" s="531"/>
      <c r="I28" s="531"/>
      <c r="J28" s="62"/>
      <c r="L28" s="530"/>
      <c r="M28" s="530"/>
      <c r="N28" s="530"/>
      <c r="P28" s="531"/>
      <c r="Q28" s="531"/>
      <c r="R28" s="531"/>
    </row>
    <row r="29" spans="1:20" s="49" customFormat="1" ht="12.75" customHeight="1">
      <c r="A29" s="526"/>
      <c r="B29" s="526"/>
      <c r="C29" s="526"/>
      <c r="D29" s="59"/>
      <c r="E29" s="59"/>
      <c r="F29" s="59"/>
      <c r="G29" s="59"/>
      <c r="H29" s="63"/>
      <c r="I29" s="63"/>
      <c r="J29" s="62"/>
      <c r="K29" s="53"/>
      <c r="L29" s="529" t="s">
        <v>132</v>
      </c>
      <c r="M29" s="529"/>
      <c r="N29" s="529"/>
      <c r="O29" s="53"/>
      <c r="P29" s="553" t="s">
        <v>303</v>
      </c>
      <c r="Q29" s="553"/>
      <c r="R29" s="553"/>
      <c r="S29" s="526"/>
      <c r="T29" s="526"/>
    </row>
    <row r="30" spans="1:19" s="53" customFormat="1" ht="12.75" customHeight="1">
      <c r="A30" s="530"/>
      <c r="B30" s="530"/>
      <c r="C30" s="530"/>
      <c r="D30" s="530"/>
      <c r="E30" s="530"/>
      <c r="F30" s="58"/>
      <c r="G30" s="531"/>
      <c r="H30" s="531"/>
      <c r="I30" s="531"/>
      <c r="J30" s="63"/>
      <c r="K30" s="498"/>
      <c r="L30" s="528" t="s">
        <v>12</v>
      </c>
      <c r="M30" s="528"/>
      <c r="N30" s="528"/>
      <c r="O30" s="49"/>
      <c r="P30" s="49"/>
      <c r="Q30" s="49"/>
      <c r="R30" s="49"/>
      <c r="S30" s="497"/>
    </row>
    <row r="31" spans="1:20" s="49" customFormat="1" ht="26.25" customHeight="1">
      <c r="A31" s="532" t="s">
        <v>380</v>
      </c>
      <c r="B31" s="532"/>
      <c r="C31" s="532"/>
      <c r="D31" s="532"/>
      <c r="E31" s="532"/>
      <c r="F31" s="58"/>
      <c r="G31" s="532" t="s">
        <v>424</v>
      </c>
      <c r="H31" s="532"/>
      <c r="I31" s="532"/>
      <c r="J31" s="62"/>
      <c r="K31" s="498"/>
      <c r="L31" s="529" t="s">
        <v>105</v>
      </c>
      <c r="M31" s="529"/>
      <c r="N31" s="529"/>
      <c r="O31" s="53"/>
      <c r="P31" s="53"/>
      <c r="Q31" s="53"/>
      <c r="R31" s="53"/>
      <c r="S31" s="497"/>
      <c r="T31" s="526"/>
    </row>
    <row r="32" spans="10:18" s="53" customFormat="1" ht="12.75" customHeight="1">
      <c r="J32" s="62"/>
      <c r="K32" s="499"/>
      <c r="L32" s="500" t="s">
        <v>324</v>
      </c>
      <c r="M32" s="500"/>
      <c r="N32" s="500"/>
      <c r="O32" s="500"/>
      <c r="P32" s="501"/>
      <c r="Q32" s="501"/>
      <c r="R32" s="501"/>
    </row>
    <row r="33" spans="1:18" s="49" customFormat="1" ht="12.75" customHeight="1">
      <c r="A33" s="526"/>
      <c r="B33" s="526"/>
      <c r="C33" s="526"/>
      <c r="D33" s="526"/>
      <c r="E33" s="526"/>
      <c r="F33" s="526"/>
      <c r="G33" s="526"/>
      <c r="J33" s="62"/>
      <c r="L33" s="160" t="s">
        <v>81</v>
      </c>
      <c r="M33" s="160"/>
      <c r="N33" s="160"/>
      <c r="O33" s="160"/>
      <c r="P33" s="157" t="s">
        <v>474</v>
      </c>
      <c r="Q33" s="550">
        <f>TotExpSchoolwide</f>
        <v>1933413</v>
      </c>
      <c r="R33" s="551"/>
    </row>
    <row r="34" spans="10:18" s="53" customFormat="1" ht="12.75" customHeight="1">
      <c r="J34" s="57"/>
      <c r="L34" s="160" t="s">
        <v>82</v>
      </c>
      <c r="M34" s="160"/>
      <c r="N34" s="160"/>
      <c r="O34" s="160"/>
      <c r="P34" s="157" t="s">
        <v>474</v>
      </c>
      <c r="Q34" s="544">
        <f>SP1000ClassSiteProj</f>
        <v>101403</v>
      </c>
      <c r="R34" s="545"/>
    </row>
    <row r="35" spans="10:18" s="53" customFormat="1" ht="12.75" customHeight="1">
      <c r="J35" s="57"/>
      <c r="K35" s="49"/>
      <c r="L35" s="160"/>
      <c r="M35" s="160"/>
      <c r="N35" s="160"/>
      <c r="O35" s="160"/>
      <c r="P35" s="52"/>
      <c r="Q35" s="52"/>
      <c r="R35" s="52"/>
    </row>
    <row r="36" spans="10:18" s="53" customFormat="1" ht="12.75" customHeight="1">
      <c r="J36" s="50"/>
      <c r="L36" s="52"/>
      <c r="M36" s="52"/>
      <c r="N36" s="52"/>
      <c r="O36" s="52"/>
      <c r="P36" s="52"/>
      <c r="Q36" s="52"/>
      <c r="R36" s="52"/>
    </row>
    <row r="37" ht="12">
      <c r="K37" s="49"/>
    </row>
    <row r="38" ht="12">
      <c r="K38" s="49"/>
    </row>
  </sheetData>
  <sheetProtection sheet="1" formatCells="0" formatColumns="0" formatRows="0"/>
  <mergeCells count="58">
    <mergeCell ref="L9:R10"/>
    <mergeCell ref="L17:R18"/>
    <mergeCell ref="L13:R13"/>
    <mergeCell ref="L3:R4"/>
    <mergeCell ref="L5:R6"/>
    <mergeCell ref="L7:R7"/>
    <mergeCell ref="L8:R8"/>
    <mergeCell ref="L11:R12"/>
    <mergeCell ref="L14:R14"/>
    <mergeCell ref="G28:I28"/>
    <mergeCell ref="L28:N28"/>
    <mergeCell ref="L15:R16"/>
    <mergeCell ref="L26:N26"/>
    <mergeCell ref="L24:N24"/>
    <mergeCell ref="P23:R23"/>
    <mergeCell ref="P24:R24"/>
    <mergeCell ref="P27:R27"/>
    <mergeCell ref="A22:E22"/>
    <mergeCell ref="G22:I22"/>
    <mergeCell ref="G26:I26"/>
    <mergeCell ref="A24:E24"/>
    <mergeCell ref="G24:I24"/>
    <mergeCell ref="A26:E26"/>
    <mergeCell ref="Q34:R34"/>
    <mergeCell ref="L19:R19"/>
    <mergeCell ref="L21:N21"/>
    <mergeCell ref="O20:R20"/>
    <mergeCell ref="Q33:R33"/>
    <mergeCell ref="M1:N1"/>
    <mergeCell ref="L2:R2"/>
    <mergeCell ref="P29:R29"/>
    <mergeCell ref="P28:R28"/>
    <mergeCell ref="L25:N25"/>
    <mergeCell ref="B6:I6"/>
    <mergeCell ref="D2:I2"/>
    <mergeCell ref="D3:I3"/>
    <mergeCell ref="D4:I4"/>
    <mergeCell ref="A1:C1"/>
    <mergeCell ref="D1:I1"/>
    <mergeCell ref="B8:I8"/>
    <mergeCell ref="B10:I10"/>
    <mergeCell ref="B14:I14"/>
    <mergeCell ref="A20:E20"/>
    <mergeCell ref="G20:I20"/>
    <mergeCell ref="A18:E18"/>
    <mergeCell ref="A11:J11"/>
    <mergeCell ref="G18:I18"/>
    <mergeCell ref="A12:J12"/>
    <mergeCell ref="L30:N30"/>
    <mergeCell ref="L31:N31"/>
    <mergeCell ref="A30:E30"/>
    <mergeCell ref="G30:I30"/>
    <mergeCell ref="L23:N23"/>
    <mergeCell ref="A31:E31"/>
    <mergeCell ref="L27:N27"/>
    <mergeCell ref="G31:I31"/>
    <mergeCell ref="A28:E28"/>
    <mergeCell ref="L29:N29"/>
  </mergeCells>
  <conditionalFormatting sqref="L5 L13 L2:L3 L7:L9 L11 A11 A12">
    <cfRule type="expression" priority="10" dxfId="0" stopIfTrue="1">
      <formula>A2&lt;&gt;""</formula>
    </cfRule>
  </conditionalFormatting>
  <conditionalFormatting sqref="L14">
    <cfRule type="expression" priority="5" dxfId="0" stopIfTrue="1">
      <formula>L14&lt;&gt;""</formula>
    </cfRule>
  </conditionalFormatting>
  <conditionalFormatting sqref="L15">
    <cfRule type="expression" priority="4" dxfId="0" stopIfTrue="1">
      <formula>L15&lt;&gt;""</formula>
    </cfRule>
  </conditionalFormatting>
  <conditionalFormatting sqref="L17">
    <cfRule type="expression" priority="1" dxfId="0" stopIfTrue="1">
      <formula>L17&lt;&gt;""</formula>
    </cfRule>
  </conditionalFormatting>
  <dataValidations count="2">
    <dataValidation type="textLength" operator="equal" showInputMessage="1" showErrorMessage="1" prompt="This cell will only accept entries equal to 9 digits.  Charter schools must enter their CTD number plus 3 zeros." sqref="R1">
      <formula1>9</formula1>
    </dataValidation>
    <dataValidation type="date" operator="greaterThanOrEqual" allowBlank="1" showInputMessage="1" showErrorMessage="1" promptTitle="Enter Date as" prompt="MM/DD/YYYY" errorTitle="Date" error="Enter Valid Date&#10;MM/DD/YYYY" sqref="N20">
      <formula1>42962</formula1>
    </dataValidation>
  </dataValidations>
  <printOptions horizontalCentered="1"/>
  <pageMargins left="0.75" right="0.75" top="0.75" bottom="0.75" header="0.5" footer="0.5"/>
  <pageSetup fitToHeight="1" fitToWidth="1" horizontalDpi="600" verticalDpi="600" orientation="landscape" paperSize="5" scale="98"/>
  <headerFooter alignWithMargins="0">
    <oddFooter>&amp;LRev. 8/18&amp;CFY 2018</oddFooter>
  </headerFooter>
  <ignoredErrors>
    <ignoredError sqref="L17" formulaRange="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N40"/>
  <sheetViews>
    <sheetView showGridLines="0" workbookViewId="0" topLeftCell="A1">
      <selection activeCell="J14" sqref="J14"/>
    </sheetView>
  </sheetViews>
  <sheetFormatPr defaultColWidth="9.33203125" defaultRowHeight="12.75"/>
  <cols>
    <col min="1" max="1" width="21.5" style="3" customWidth="1"/>
    <col min="2" max="2" width="19.33203125" style="3" customWidth="1"/>
    <col min="3" max="3" width="10.66015625" style="3" customWidth="1"/>
    <col min="4" max="4" width="3.83203125" style="10" customWidth="1"/>
    <col min="5" max="10" width="13.83203125" style="3" customWidth="1"/>
    <col min="11" max="11" width="15.33203125" style="3" customWidth="1"/>
    <col min="12" max="12" width="13.83203125" style="3" customWidth="1"/>
    <col min="13" max="13" width="3.66015625" style="3" bestFit="1" customWidth="1"/>
    <col min="14" max="16384" width="9.33203125" style="3" customWidth="1"/>
  </cols>
  <sheetData>
    <row r="1" spans="1:12" ht="12">
      <c r="A1" s="1" t="s">
        <v>422</v>
      </c>
      <c r="B1" s="560" t="str">
        <f>'Cover Page'!D1</f>
        <v>George Gervin Youth Center, Inc. </v>
      </c>
      <c r="C1" s="560"/>
      <c r="D1" s="560"/>
      <c r="E1" s="2"/>
      <c r="F1" s="4" t="s">
        <v>423</v>
      </c>
      <c r="G1" s="560" t="str">
        <f>'Cover Page'!M1</f>
        <v>Maricopa</v>
      </c>
      <c r="H1" s="560"/>
      <c r="K1" s="4" t="s">
        <v>399</v>
      </c>
      <c r="L1" s="244" t="str">
        <f>'Cover Page'!R1</f>
        <v>078585000</v>
      </c>
    </row>
    <row r="2" ht="12.75"/>
    <row r="3" spans="1:12" ht="12.75">
      <c r="A3" s="674" t="s">
        <v>387</v>
      </c>
      <c r="B3" s="674"/>
      <c r="C3" s="674"/>
      <c r="D3" s="675"/>
      <c r="E3" s="29" t="s">
        <v>513</v>
      </c>
      <c r="F3" s="29"/>
      <c r="G3" s="29" t="s">
        <v>518</v>
      </c>
      <c r="H3" s="29"/>
      <c r="I3" s="30"/>
      <c r="J3" s="31"/>
      <c r="K3" s="29" t="s">
        <v>515</v>
      </c>
      <c r="L3" s="29" t="s">
        <v>517</v>
      </c>
    </row>
    <row r="4" spans="5:12" ht="12.75">
      <c r="E4" s="225" t="s">
        <v>514</v>
      </c>
      <c r="F4" s="225" t="s">
        <v>490</v>
      </c>
      <c r="G4" s="225" t="s">
        <v>519</v>
      </c>
      <c r="H4" s="225" t="s">
        <v>520</v>
      </c>
      <c r="I4" s="676" t="s">
        <v>507</v>
      </c>
      <c r="J4" s="677"/>
      <c r="K4" s="225" t="s">
        <v>516</v>
      </c>
      <c r="L4" s="225" t="s">
        <v>514</v>
      </c>
    </row>
    <row r="5" spans="1:12" ht="12.75">
      <c r="A5" s="1" t="s">
        <v>491</v>
      </c>
      <c r="E5" s="32" t="s">
        <v>426</v>
      </c>
      <c r="F5" s="32" t="s">
        <v>426</v>
      </c>
      <c r="G5" s="32" t="s">
        <v>426</v>
      </c>
      <c r="H5" s="32" t="s">
        <v>426</v>
      </c>
      <c r="I5" s="21" t="s">
        <v>457</v>
      </c>
      <c r="J5" s="21" t="s">
        <v>426</v>
      </c>
      <c r="K5" s="32" t="s">
        <v>426</v>
      </c>
      <c r="L5" s="32" t="s">
        <v>426</v>
      </c>
    </row>
    <row r="6" spans="1:13" ht="12.75">
      <c r="A6" s="3" t="s">
        <v>244</v>
      </c>
      <c r="D6" s="10" t="s">
        <v>428</v>
      </c>
      <c r="E6" s="77">
        <f>[1]!FP11001130EndBal</f>
        <v>0</v>
      </c>
      <c r="F6" s="67">
        <v>131875</v>
      </c>
      <c r="G6" s="17"/>
      <c r="H6" s="17"/>
      <c r="I6" s="182">
        <f>[2]!FP11001130TitleI</f>
        <v>143500</v>
      </c>
      <c r="J6" s="17">
        <v>131875</v>
      </c>
      <c r="K6" s="17"/>
      <c r="L6" s="23">
        <f>SUM(E6+F6-G6-H6-J6-K6)</f>
        <v>0</v>
      </c>
      <c r="M6" s="3" t="s">
        <v>428</v>
      </c>
    </row>
    <row r="7" spans="1:13" ht="12.75">
      <c r="A7" s="3" t="s">
        <v>245</v>
      </c>
      <c r="D7" s="10" t="s">
        <v>429</v>
      </c>
      <c r="E7" s="77">
        <f>[1]!FP11401150EndBal</f>
        <v>0</v>
      </c>
      <c r="F7" s="17">
        <v>9449</v>
      </c>
      <c r="G7" s="17"/>
      <c r="H7" s="17"/>
      <c r="I7" s="182">
        <f>[2]!FP11401150TitleII</f>
        <v>2100</v>
      </c>
      <c r="J7" s="17">
        <v>9449</v>
      </c>
      <c r="K7" s="17"/>
      <c r="L7" s="23">
        <f aca="true" t="shared" si="0" ref="L7:L23">SUM(E7+F7-G7-H7-J7-K7)</f>
        <v>0</v>
      </c>
      <c r="M7" s="3" t="s">
        <v>429</v>
      </c>
    </row>
    <row r="8" spans="1:13" ht="12.75">
      <c r="A8" s="3" t="s">
        <v>312</v>
      </c>
      <c r="D8" s="10" t="s">
        <v>430</v>
      </c>
      <c r="E8" s="77">
        <f>[1]!FP1160EndBal</f>
        <v>0</v>
      </c>
      <c r="F8" s="17"/>
      <c r="G8" s="17"/>
      <c r="H8" s="17"/>
      <c r="I8" s="182">
        <f>[2]!FP1160TitleIV</f>
        <v>0</v>
      </c>
      <c r="J8" s="17"/>
      <c r="K8" s="17"/>
      <c r="L8" s="23">
        <f t="shared" si="0"/>
        <v>0</v>
      </c>
      <c r="M8" s="3" t="s">
        <v>430</v>
      </c>
    </row>
    <row r="9" spans="1:13" ht="12.75">
      <c r="A9" s="3" t="s">
        <v>313</v>
      </c>
      <c r="D9" s="10" t="s">
        <v>431</v>
      </c>
      <c r="E9" s="77">
        <f>[1]!FP11701180EndBal</f>
        <v>0</v>
      </c>
      <c r="F9" s="17"/>
      <c r="G9" s="17"/>
      <c r="H9" s="17"/>
      <c r="I9" s="182">
        <f>[2]!FP11701180TitleV</f>
        <v>0</v>
      </c>
      <c r="J9" s="17"/>
      <c r="K9" s="17"/>
      <c r="L9" s="23">
        <f t="shared" si="0"/>
        <v>0</v>
      </c>
      <c r="M9" s="3" t="s">
        <v>431</v>
      </c>
    </row>
    <row r="10" spans="1:13" ht="12.75">
      <c r="A10" s="3" t="s">
        <v>314</v>
      </c>
      <c r="D10" s="10" t="s">
        <v>432</v>
      </c>
      <c r="E10" s="77">
        <f>[1]!FP1190EndBal</f>
        <v>0</v>
      </c>
      <c r="F10" s="17"/>
      <c r="G10" s="17"/>
      <c r="H10" s="17"/>
      <c r="I10" s="182">
        <f>[2]!FP1190TitleIII</f>
        <v>0</v>
      </c>
      <c r="J10" s="17"/>
      <c r="K10" s="17"/>
      <c r="L10" s="23">
        <f t="shared" si="0"/>
        <v>0</v>
      </c>
      <c r="M10" s="3" t="s">
        <v>432</v>
      </c>
    </row>
    <row r="11" spans="1:13" ht="12.75">
      <c r="A11" s="3" t="s">
        <v>315</v>
      </c>
      <c r="D11" s="10" t="s">
        <v>433</v>
      </c>
      <c r="E11" s="77">
        <f>[1]!FP1200EndBal</f>
        <v>0</v>
      </c>
      <c r="F11" s="17"/>
      <c r="G11" s="17"/>
      <c r="H11" s="17"/>
      <c r="I11" s="182">
        <f>[2]!FP1200TitleVII</f>
        <v>0</v>
      </c>
      <c r="J11" s="17"/>
      <c r="K11" s="17"/>
      <c r="L11" s="23">
        <f t="shared" si="0"/>
        <v>0</v>
      </c>
      <c r="M11" s="3" t="s">
        <v>433</v>
      </c>
    </row>
    <row r="12" spans="1:13" ht="12.75">
      <c r="A12" s="3" t="s">
        <v>316</v>
      </c>
      <c r="D12" s="10" t="s">
        <v>434</v>
      </c>
      <c r="E12" s="77">
        <f>[1]!FP1210EndBal</f>
        <v>0</v>
      </c>
      <c r="F12" s="17"/>
      <c r="G12" s="17"/>
      <c r="H12" s="17"/>
      <c r="I12" s="182">
        <f>[2]!FP1210TitleVI</f>
        <v>0</v>
      </c>
      <c r="J12" s="17"/>
      <c r="K12" s="17"/>
      <c r="L12" s="23">
        <f t="shared" si="0"/>
        <v>0</v>
      </c>
      <c r="M12" s="3" t="s">
        <v>434</v>
      </c>
    </row>
    <row r="13" spans="1:13" ht="12.75">
      <c r="A13" s="3" t="s">
        <v>492</v>
      </c>
      <c r="D13" s="10" t="s">
        <v>436</v>
      </c>
      <c r="E13" s="77">
        <f>[1]!FP1220EndBal</f>
        <v>0</v>
      </c>
      <c r="F13" s="17">
        <v>30342</v>
      </c>
      <c r="G13" s="17"/>
      <c r="H13" s="17"/>
      <c r="I13" s="182">
        <f>[2]!FP1220IDEA</f>
        <v>40800</v>
      </c>
      <c r="J13" s="17">
        <v>30342</v>
      </c>
      <c r="K13" s="17"/>
      <c r="L13" s="23">
        <f t="shared" si="0"/>
        <v>0</v>
      </c>
      <c r="M13" s="3" t="s">
        <v>436</v>
      </c>
    </row>
    <row r="14" spans="1:13" ht="12">
      <c r="A14" s="3" t="s">
        <v>493</v>
      </c>
      <c r="D14" s="10" t="s">
        <v>437</v>
      </c>
      <c r="E14" s="77">
        <f>[1]!FP1230EndBal</f>
        <v>0</v>
      </c>
      <c r="F14" s="17"/>
      <c r="G14" s="17"/>
      <c r="H14" s="17"/>
      <c r="I14" s="182">
        <f>[2]!FP1230Johnson</f>
        <v>0</v>
      </c>
      <c r="J14" s="17"/>
      <c r="K14" s="17"/>
      <c r="L14" s="23">
        <f t="shared" si="0"/>
        <v>0</v>
      </c>
      <c r="M14" s="3" t="s">
        <v>437</v>
      </c>
    </row>
    <row r="15" spans="1:13" ht="12">
      <c r="A15" s="3" t="s">
        <v>327</v>
      </c>
      <c r="D15" s="10" t="s">
        <v>438</v>
      </c>
      <c r="E15" s="77">
        <f>[1]!FP1240EndBal</f>
        <v>0</v>
      </c>
      <c r="F15" s="17"/>
      <c r="G15" s="17"/>
      <c r="H15" s="17"/>
      <c r="I15" s="182">
        <f>[2]!FP1240WIA</f>
        <v>0</v>
      </c>
      <c r="J15" s="17"/>
      <c r="K15" s="17"/>
      <c r="L15" s="23">
        <f t="shared" si="0"/>
        <v>0</v>
      </c>
      <c r="M15" s="3" t="s">
        <v>438</v>
      </c>
    </row>
    <row r="16" spans="1:13" ht="12">
      <c r="A16" s="3" t="s">
        <v>494</v>
      </c>
      <c r="D16" s="10" t="s">
        <v>439</v>
      </c>
      <c r="E16" s="77">
        <f>[1]!FP1250EndBal</f>
        <v>0</v>
      </c>
      <c r="F16" s="17"/>
      <c r="G16" s="17"/>
      <c r="H16" s="17"/>
      <c r="I16" s="182">
        <f>[2]!FP1250AEA</f>
        <v>0</v>
      </c>
      <c r="J16" s="17"/>
      <c r="K16" s="17"/>
      <c r="L16" s="23">
        <f t="shared" si="0"/>
        <v>0</v>
      </c>
      <c r="M16" s="3" t="s">
        <v>439</v>
      </c>
    </row>
    <row r="17" spans="1:13" ht="12">
      <c r="A17" s="3" t="s">
        <v>317</v>
      </c>
      <c r="D17" s="10" t="s">
        <v>440</v>
      </c>
      <c r="E17" s="77">
        <f>[1]!FP1260EndBal</f>
        <v>0</v>
      </c>
      <c r="F17" s="17"/>
      <c r="G17" s="17"/>
      <c r="H17" s="17"/>
      <c r="I17" s="182">
        <f>[2]!FP12601270VocEd</f>
        <v>0</v>
      </c>
      <c r="J17" s="17"/>
      <c r="K17" s="17"/>
      <c r="L17" s="23">
        <f t="shared" si="0"/>
        <v>0</v>
      </c>
      <c r="M17" s="3" t="s">
        <v>440</v>
      </c>
    </row>
    <row r="18" spans="1:13" ht="12">
      <c r="A18" s="3" t="s">
        <v>343</v>
      </c>
      <c r="D18" s="10" t="s">
        <v>442</v>
      </c>
      <c r="E18" s="77">
        <f>[1]!FP1280EndBal</f>
        <v>0</v>
      </c>
      <c r="F18" s="17"/>
      <c r="G18" s="17"/>
      <c r="H18" s="17"/>
      <c r="I18" s="182">
        <f>[2]!FP1280TitleX</f>
        <v>0</v>
      </c>
      <c r="J18" s="17"/>
      <c r="K18" s="17"/>
      <c r="L18" s="23">
        <f t="shared" si="0"/>
        <v>0</v>
      </c>
      <c r="M18" s="3" t="s">
        <v>442</v>
      </c>
    </row>
    <row r="19" spans="1:13" ht="12">
      <c r="A19" s="3" t="s">
        <v>369</v>
      </c>
      <c r="D19" s="10" t="s">
        <v>443</v>
      </c>
      <c r="E19" s="77">
        <f>[1]!FP1290EndBal</f>
        <v>0</v>
      </c>
      <c r="F19" s="17"/>
      <c r="G19" s="17"/>
      <c r="H19" s="17"/>
      <c r="I19" s="182">
        <f>[2]!FP1290Medicaid</f>
        <v>0</v>
      </c>
      <c r="J19" s="17"/>
      <c r="K19" s="17"/>
      <c r="L19" s="23">
        <f t="shared" si="0"/>
        <v>0</v>
      </c>
      <c r="M19" s="3" t="s">
        <v>443</v>
      </c>
    </row>
    <row r="20" spans="1:13" ht="12">
      <c r="A20" s="3" t="s">
        <v>370</v>
      </c>
      <c r="D20" s="65" t="s">
        <v>444</v>
      </c>
      <c r="E20" s="77">
        <f>[1]!FP1300EndBal</f>
        <v>0</v>
      </c>
      <c r="F20" s="18"/>
      <c r="G20" s="18"/>
      <c r="H20" s="18"/>
      <c r="I20" s="182">
        <f>[2]!FP1300Charter</f>
        <v>0</v>
      </c>
      <c r="J20" s="18"/>
      <c r="K20" s="18"/>
      <c r="L20" s="23">
        <f t="shared" si="0"/>
        <v>0</v>
      </c>
      <c r="M20" s="24" t="s">
        <v>444</v>
      </c>
    </row>
    <row r="21" spans="1:13" ht="12">
      <c r="A21" s="452" t="s">
        <v>138</v>
      </c>
      <c r="B21" s="452"/>
      <c r="C21" s="452"/>
      <c r="D21" s="504" t="s">
        <v>445</v>
      </c>
      <c r="E21" s="467">
        <f>'[1]Page 9'!L21</f>
        <v>0</v>
      </c>
      <c r="F21" s="505"/>
      <c r="G21" s="505"/>
      <c r="H21" s="505"/>
      <c r="I21" s="182">
        <f>[2]!FP13__ImpactAid</f>
        <v>0</v>
      </c>
      <c r="J21" s="505"/>
      <c r="K21" s="505"/>
      <c r="L21" s="95">
        <f t="shared" si="0"/>
        <v>0</v>
      </c>
      <c r="M21" s="24" t="s">
        <v>445</v>
      </c>
    </row>
    <row r="22" spans="1:13" ht="12.75" thickBot="1">
      <c r="A22" s="452" t="s">
        <v>400</v>
      </c>
      <c r="B22" s="452"/>
      <c r="C22" s="452"/>
      <c r="D22" s="65" t="s">
        <v>446</v>
      </c>
      <c r="E22" s="254">
        <f>[1]!FP13101399EndBal</f>
        <v>0</v>
      </c>
      <c r="F22" s="68"/>
      <c r="G22" s="68"/>
      <c r="H22" s="68"/>
      <c r="I22" s="254">
        <f>[2]!FP13101399Other</f>
        <v>0</v>
      </c>
      <c r="J22" s="68"/>
      <c r="K22" s="68"/>
      <c r="L22" s="274">
        <f t="shared" si="0"/>
        <v>0</v>
      </c>
      <c r="M22" s="24" t="s">
        <v>446</v>
      </c>
    </row>
    <row r="23" spans="1:13" ht="12.75" thickBot="1">
      <c r="A23" s="3" t="s">
        <v>139</v>
      </c>
      <c r="D23" s="65" t="s">
        <v>448</v>
      </c>
      <c r="E23" s="446">
        <f>SUM(E6:E22)</f>
        <v>0</v>
      </c>
      <c r="F23" s="28">
        <f aca="true" t="shared" si="1" ref="F23:K23">SUM(F6:F22)</f>
        <v>171666</v>
      </c>
      <c r="G23" s="28">
        <f t="shared" si="1"/>
        <v>0</v>
      </c>
      <c r="H23" s="28">
        <f t="shared" si="1"/>
        <v>0</v>
      </c>
      <c r="I23" s="255">
        <f t="shared" si="1"/>
        <v>186400</v>
      </c>
      <c r="J23" s="28">
        <f t="shared" si="1"/>
        <v>171666</v>
      </c>
      <c r="K23" s="28">
        <f t="shared" si="1"/>
        <v>0</v>
      </c>
      <c r="L23" s="28">
        <f t="shared" si="0"/>
        <v>0</v>
      </c>
      <c r="M23" s="24" t="s">
        <v>448</v>
      </c>
    </row>
    <row r="24" spans="1:12" ht="12.75" thickTop="1">
      <c r="A24" s="1" t="s">
        <v>495</v>
      </c>
      <c r="E24" s="8"/>
      <c r="F24" s="8"/>
      <c r="G24" s="8"/>
      <c r="H24" s="8"/>
      <c r="I24" s="242"/>
      <c r="J24" s="8"/>
      <c r="K24" s="8"/>
      <c r="L24" s="8"/>
    </row>
    <row r="25" spans="1:13" ht="12">
      <c r="A25" s="3" t="s">
        <v>496</v>
      </c>
      <c r="D25" s="65" t="s">
        <v>449</v>
      </c>
      <c r="E25" s="43">
        <f>[1]!StP1400EndBal</f>
        <v>0</v>
      </c>
      <c r="F25" s="67"/>
      <c r="G25" s="33"/>
      <c r="H25" s="17"/>
      <c r="I25" s="182">
        <f>[2]!SP1400VocEd</f>
        <v>0</v>
      </c>
      <c r="J25" s="17"/>
      <c r="K25" s="17"/>
      <c r="L25" s="23">
        <f aca="true" t="shared" si="2" ref="L25:L37">SUM(E25+F25-G25-H25-J25-K25)</f>
        <v>0</v>
      </c>
      <c r="M25" s="24" t="s">
        <v>449</v>
      </c>
    </row>
    <row r="26" spans="1:13" ht="12">
      <c r="A26" s="3" t="s">
        <v>371</v>
      </c>
      <c r="D26" s="65" t="s">
        <v>450</v>
      </c>
      <c r="E26" s="43">
        <f>[1]!StP1410EndBal</f>
        <v>0</v>
      </c>
      <c r="F26" s="67"/>
      <c r="G26" s="33"/>
      <c r="H26" s="17"/>
      <c r="I26" s="182">
        <f>[2]!SP1410EarlyChildhoodBlockGrant</f>
        <v>0</v>
      </c>
      <c r="J26" s="17"/>
      <c r="K26" s="17"/>
      <c r="L26" s="23">
        <f t="shared" si="2"/>
        <v>0</v>
      </c>
      <c r="M26" s="24" t="s">
        <v>450</v>
      </c>
    </row>
    <row r="27" spans="1:13" ht="12">
      <c r="A27" s="3" t="s">
        <v>318</v>
      </c>
      <c r="D27" s="65" t="s">
        <v>451</v>
      </c>
      <c r="E27" s="43">
        <f>[1]!StP1420EndBal</f>
        <v>0</v>
      </c>
      <c r="F27" s="17"/>
      <c r="G27" s="33"/>
      <c r="H27" s="17"/>
      <c r="I27" s="182">
        <f>[2]!FP1420ExtendedSchool</f>
        <v>0</v>
      </c>
      <c r="J27" s="17"/>
      <c r="K27" s="17"/>
      <c r="L27" s="23">
        <f t="shared" si="2"/>
        <v>0</v>
      </c>
      <c r="M27" s="24" t="s">
        <v>451</v>
      </c>
    </row>
    <row r="28" spans="1:13" ht="12">
      <c r="A28" s="3" t="s">
        <v>274</v>
      </c>
      <c r="D28" s="65" t="s">
        <v>452</v>
      </c>
      <c r="E28" s="43">
        <f>[1]!StP1425EndBal</f>
        <v>0</v>
      </c>
      <c r="F28" s="17"/>
      <c r="G28" s="33"/>
      <c r="H28" s="17"/>
      <c r="I28" s="182">
        <f>[2]!SP1425AdultBasicEd</f>
        <v>0</v>
      </c>
      <c r="J28" s="17"/>
      <c r="K28" s="17"/>
      <c r="L28" s="23">
        <f t="shared" si="2"/>
        <v>0</v>
      </c>
      <c r="M28" s="24" t="s">
        <v>452</v>
      </c>
    </row>
    <row r="29" spans="1:13" ht="12">
      <c r="A29" s="3" t="s">
        <v>497</v>
      </c>
      <c r="D29" s="65" t="s">
        <v>453</v>
      </c>
      <c r="E29" s="43">
        <f>[1]!StP1430EndBal</f>
        <v>0</v>
      </c>
      <c r="F29" s="17"/>
      <c r="G29" s="33"/>
      <c r="H29" s="17"/>
      <c r="I29" s="182">
        <f>[2]!SP1430ChemicalAbuse</f>
        <v>0</v>
      </c>
      <c r="J29" s="17"/>
      <c r="K29" s="17"/>
      <c r="L29" s="23">
        <f t="shared" si="2"/>
        <v>0</v>
      </c>
      <c r="M29" s="24" t="s">
        <v>453</v>
      </c>
    </row>
    <row r="30" spans="1:13" ht="12.75" customHeight="1">
      <c r="A30" s="3" t="s">
        <v>498</v>
      </c>
      <c r="D30" s="65" t="s">
        <v>454</v>
      </c>
      <c r="E30" s="43">
        <f>[1]!StP1435EndBal</f>
        <v>0</v>
      </c>
      <c r="F30" s="17"/>
      <c r="G30" s="33"/>
      <c r="H30" s="17"/>
      <c r="I30" s="182">
        <f>[2]!SP1435AcademicContests</f>
        <v>0</v>
      </c>
      <c r="J30" s="17"/>
      <c r="K30" s="17"/>
      <c r="L30" s="23">
        <f t="shared" si="2"/>
        <v>0</v>
      </c>
      <c r="M30" s="24" t="s">
        <v>454</v>
      </c>
    </row>
    <row r="31" spans="1:13" ht="12.75" customHeight="1">
      <c r="A31" s="3" t="s">
        <v>291</v>
      </c>
      <c r="D31" s="65" t="s">
        <v>499</v>
      </c>
      <c r="E31" s="182">
        <f>[1]!StP1450EndBal</f>
        <v>0</v>
      </c>
      <c r="F31" s="17"/>
      <c r="G31" s="33"/>
      <c r="H31" s="17"/>
      <c r="I31" s="182">
        <f>[2]!SP1450GiftedEd</f>
        <v>0</v>
      </c>
      <c r="J31" s="17"/>
      <c r="K31" s="17"/>
      <c r="L31" s="23">
        <f t="shared" si="2"/>
        <v>0</v>
      </c>
      <c r="M31" s="24" t="s">
        <v>499</v>
      </c>
    </row>
    <row r="32" spans="1:13" ht="12.75" customHeight="1">
      <c r="A32" s="3" t="s">
        <v>40</v>
      </c>
      <c r="D32" s="65" t="s">
        <v>500</v>
      </c>
      <c r="E32" s="33"/>
      <c r="F32" s="17"/>
      <c r="G32" s="33"/>
      <c r="H32" s="17"/>
      <c r="I32" s="182">
        <f>+'[2]Page 2'!$E$31</f>
        <v>0</v>
      </c>
      <c r="J32" s="17"/>
      <c r="K32" s="17"/>
      <c r="L32" s="23">
        <f t="shared" si="2"/>
        <v>0</v>
      </c>
      <c r="M32" s="24" t="s">
        <v>500</v>
      </c>
    </row>
    <row r="33" spans="1:13" ht="12.75" customHeight="1">
      <c r="A33" s="3" t="s">
        <v>24</v>
      </c>
      <c r="D33" s="65" t="s">
        <v>501</v>
      </c>
      <c r="E33" s="33"/>
      <c r="F33" s="17"/>
      <c r="G33" s="33"/>
      <c r="H33" s="17"/>
      <c r="I33" s="182">
        <f>+'[2]Page 2'!$E$32</f>
        <v>0</v>
      </c>
      <c r="J33" s="17"/>
      <c r="K33" s="17"/>
      <c r="L33" s="23">
        <f t="shared" si="2"/>
        <v>0</v>
      </c>
      <c r="M33" s="24" t="s">
        <v>501</v>
      </c>
    </row>
    <row r="34" spans="1:13" ht="12">
      <c r="A34" s="3" t="s">
        <v>502</v>
      </c>
      <c r="D34" s="65" t="s">
        <v>503</v>
      </c>
      <c r="E34" s="182">
        <f>[1]!StP1460EndBal</f>
        <v>0</v>
      </c>
      <c r="F34" s="17"/>
      <c r="G34" s="369"/>
      <c r="H34" s="17"/>
      <c r="I34" s="182">
        <f>[2]!SP1460EnvironmentalSpecialPlate</f>
        <v>0</v>
      </c>
      <c r="J34" s="17"/>
      <c r="K34" s="17"/>
      <c r="L34" s="23">
        <f t="shared" si="2"/>
        <v>0</v>
      </c>
      <c r="M34" s="24" t="s">
        <v>503</v>
      </c>
    </row>
    <row r="35" spans="1:13" ht="12.75" customHeight="1">
      <c r="A35" s="3" t="s">
        <v>373</v>
      </c>
      <c r="D35" s="256" t="s">
        <v>504</v>
      </c>
      <c r="E35" s="182">
        <f>[1]!StP1465EndBal</f>
        <v>0</v>
      </c>
      <c r="F35" s="18"/>
      <c r="G35" s="34"/>
      <c r="H35" s="18"/>
      <c r="I35" s="182">
        <f>[2]!SP1465CharterSchool</f>
        <v>0</v>
      </c>
      <c r="J35" s="18"/>
      <c r="K35" s="18"/>
      <c r="L35" s="23">
        <f t="shared" si="2"/>
        <v>0</v>
      </c>
      <c r="M35" s="24" t="s">
        <v>504</v>
      </c>
    </row>
    <row r="36" spans="1:14" ht="12.75" customHeight="1" thickBot="1">
      <c r="A36" s="47" t="s">
        <v>372</v>
      </c>
      <c r="B36" s="47"/>
      <c r="C36" s="47"/>
      <c r="D36" s="256" t="s">
        <v>505</v>
      </c>
      <c r="E36" s="254">
        <f>[1]!StP14701499EndBal</f>
        <v>0</v>
      </c>
      <c r="F36" s="68"/>
      <c r="G36" s="278"/>
      <c r="H36" s="68"/>
      <c r="I36" s="254">
        <f>[2]!SP14701499Other</f>
        <v>0</v>
      </c>
      <c r="J36" s="68"/>
      <c r="K36" s="68"/>
      <c r="L36" s="274">
        <f t="shared" si="2"/>
        <v>0</v>
      </c>
      <c r="M36" s="253" t="s">
        <v>505</v>
      </c>
      <c r="N36" s="47"/>
    </row>
    <row r="37" spans="1:14" ht="12.75" thickBot="1">
      <c r="A37" s="47" t="s">
        <v>41</v>
      </c>
      <c r="B37" s="47"/>
      <c r="C37" s="47"/>
      <c r="D37" s="256" t="s">
        <v>506</v>
      </c>
      <c r="E37" s="179">
        <f>SUM(E25:E36)</f>
        <v>0</v>
      </c>
      <c r="F37" s="179">
        <f>SUM(F25:F36)</f>
        <v>0</v>
      </c>
      <c r="G37" s="277"/>
      <c r="H37" s="179">
        <f>SUM(H25:H36)</f>
        <v>0</v>
      </c>
      <c r="I37" s="255">
        <f>SUM(I25:I36)</f>
        <v>0</v>
      </c>
      <c r="J37" s="179">
        <f>SUM(J25:J36)</f>
        <v>0</v>
      </c>
      <c r="K37" s="179">
        <f>SUM(K25:K36)</f>
        <v>0</v>
      </c>
      <c r="L37" s="179">
        <f t="shared" si="2"/>
        <v>0</v>
      </c>
      <c r="M37" s="253" t="s">
        <v>506</v>
      </c>
      <c r="N37" s="47"/>
    </row>
    <row r="38" spans="1:14" ht="12.75" thickTop="1">
      <c r="A38" s="47"/>
      <c r="B38" s="47"/>
      <c r="C38" s="47"/>
      <c r="D38" s="256"/>
      <c r="E38" s="180"/>
      <c r="F38" s="180"/>
      <c r="G38" s="180"/>
      <c r="H38" s="180"/>
      <c r="I38" s="242"/>
      <c r="J38" s="180"/>
      <c r="K38" s="180"/>
      <c r="L38" s="180"/>
      <c r="M38" s="253"/>
      <c r="N38" s="47"/>
    </row>
    <row r="39" spans="1:14" ht="12.75" thickBot="1">
      <c r="A39" s="452" t="s">
        <v>42</v>
      </c>
      <c r="B39" s="452"/>
      <c r="C39" s="452"/>
      <c r="D39" s="256" t="s">
        <v>509</v>
      </c>
      <c r="E39" s="181">
        <f>SUM(E23+E37)</f>
        <v>0</v>
      </c>
      <c r="F39" s="181">
        <f>SUM(F23+F37)</f>
        <v>171666</v>
      </c>
      <c r="G39" s="181">
        <f>G23</f>
        <v>0</v>
      </c>
      <c r="H39" s="181">
        <f>SUM(H23+H37)</f>
        <v>0</v>
      </c>
      <c r="I39" s="275">
        <f>SUM(I23+I37)</f>
        <v>186400</v>
      </c>
      <c r="J39" s="181">
        <f>SUM(J23+J37)</f>
        <v>171666</v>
      </c>
      <c r="K39" s="181">
        <f>SUM(K23+K37)</f>
        <v>0</v>
      </c>
      <c r="L39" s="181">
        <f>SUM(E39+F39-G39-H39-J39-K39)</f>
        <v>0</v>
      </c>
      <c r="M39" s="253" t="s">
        <v>509</v>
      </c>
      <c r="N39" s="47"/>
    </row>
    <row r="40" spans="1:14" ht="12.75" thickTop="1">
      <c r="A40" s="47"/>
      <c r="B40" s="47"/>
      <c r="C40" s="47"/>
      <c r="D40" s="48"/>
      <c r="E40" s="47"/>
      <c r="F40" s="47"/>
      <c r="G40" s="47"/>
      <c r="H40" s="47"/>
      <c r="I40" s="47"/>
      <c r="J40" s="47"/>
      <c r="K40" s="47"/>
      <c r="L40" s="47"/>
      <c r="M40" s="47"/>
      <c r="N40" s="47"/>
    </row>
  </sheetData>
  <sheetProtection sheet="1" formatCells="0" formatColumns="0" formatRows="0"/>
  <mergeCells count="4">
    <mergeCell ref="A3:D3"/>
    <mergeCell ref="B1:D1"/>
    <mergeCell ref="G1:H1"/>
    <mergeCell ref="I4:J4"/>
  </mergeCells>
  <hyperlinks>
    <hyperlink ref="A3:D3" location="FederalAndStateProjectsPage9" display="FEDERAL AND STATE PROJECTS"/>
    <hyperlink ref="A39:C39" location="FederalAndStateProjectsPage9Line30" display="     Total Federal and State Projects (lines 17 and 29)"/>
    <hyperlink ref="A21:C22" location="ImpactAidandOtherFederalProjects" display="13__ Impact Aid"/>
  </hyperlinks>
  <printOptions horizontalCentered="1"/>
  <pageMargins left="1" right="0.25" top="0.5" bottom="0.25" header="0.5" footer="0.15"/>
  <pageSetup fitToHeight="1" fitToWidth="1" horizontalDpi="600" verticalDpi="600" orientation="landscape" paperSize="5"/>
  <headerFooter alignWithMargins="0">
    <oddFooter>&amp;LRev. 8/18&amp;CFY 2018&amp;RPage 9 of 10</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T50"/>
  <sheetViews>
    <sheetView showGridLines="0" workbookViewId="0" topLeftCell="A1">
      <selection activeCell="F47" sqref="F47"/>
    </sheetView>
  </sheetViews>
  <sheetFormatPr defaultColWidth="9.33203125" defaultRowHeight="12.75" customHeight="1"/>
  <cols>
    <col min="1" max="1" width="19.83203125" style="372" customWidth="1"/>
    <col min="2" max="2" width="36.83203125" style="372" customWidth="1"/>
    <col min="3" max="3" width="3.16015625" style="372" customWidth="1"/>
    <col min="4" max="7" width="16.83203125" style="372" customWidth="1"/>
    <col min="8" max="10" width="17.83203125" style="374" customWidth="1"/>
    <col min="11" max="11" width="16.83203125" style="374" customWidth="1"/>
    <col min="12" max="12" width="3.16015625" style="372" customWidth="1"/>
    <col min="13" max="13" width="14.83203125" style="372" customWidth="1"/>
    <col min="14" max="14" width="21.33203125" style="372" customWidth="1"/>
    <col min="15" max="15" width="13.83203125" style="372" customWidth="1"/>
    <col min="16" max="18" width="10.83203125" style="372" customWidth="1"/>
    <col min="19" max="19" width="9.33203125" style="372" customWidth="1"/>
    <col min="20" max="20" width="2.66015625" style="372" customWidth="1"/>
    <col min="21" max="16384" width="9.33203125" style="372" customWidth="1"/>
  </cols>
  <sheetData>
    <row r="1" spans="1:20" ht="12" customHeight="1">
      <c r="A1" s="382" t="s">
        <v>422</v>
      </c>
      <c r="B1" s="11" t="str">
        <f>'Cover Page'!D1</f>
        <v>George Gervin Youth Center, Inc. </v>
      </c>
      <c r="C1" s="22"/>
      <c r="D1" s="2"/>
      <c r="E1" s="4" t="s">
        <v>423</v>
      </c>
      <c r="F1" s="560" t="str">
        <f>'Cover Page'!M1</f>
        <v>Maricopa</v>
      </c>
      <c r="G1" s="560"/>
      <c r="H1" s="20"/>
      <c r="I1" s="4"/>
      <c r="J1" s="4" t="s">
        <v>399</v>
      </c>
      <c r="K1" s="244" t="str">
        <f>'Cover Page'!R1</f>
        <v>078585000</v>
      </c>
      <c r="L1" s="385"/>
      <c r="M1" s="386"/>
      <c r="N1" s="683"/>
      <c r="O1" s="683"/>
      <c r="P1" s="4"/>
      <c r="Q1" s="683"/>
      <c r="R1" s="684"/>
      <c r="S1" s="371"/>
      <c r="T1" s="371"/>
    </row>
    <row r="2" spans="1:20" ht="12" customHeight="1">
      <c r="A2" s="4"/>
      <c r="B2" s="4"/>
      <c r="C2" s="235"/>
      <c r="D2" s="22"/>
      <c r="E2" s="2"/>
      <c r="F2" s="3"/>
      <c r="G2" s="2"/>
      <c r="H2" s="4"/>
      <c r="I2" s="22"/>
      <c r="J2" s="22"/>
      <c r="K2" s="22"/>
      <c r="L2" s="20"/>
      <c r="M2" s="4"/>
      <c r="N2" s="370"/>
      <c r="O2" s="370"/>
      <c r="P2" s="4"/>
      <c r="Q2" s="370"/>
      <c r="R2" s="22"/>
      <c r="S2" s="371"/>
      <c r="T2" s="371"/>
    </row>
    <row r="3" spans="1:18" ht="12" customHeight="1">
      <c r="A3" s="373"/>
      <c r="B3" s="373"/>
      <c r="C3" s="373"/>
      <c r="D3" s="373"/>
      <c r="E3" s="373"/>
      <c r="F3" s="373"/>
      <c r="G3" s="373"/>
      <c r="H3" s="373"/>
      <c r="I3" s="373"/>
      <c r="J3" s="373"/>
      <c r="K3" s="373"/>
      <c r="L3" s="373"/>
      <c r="M3" s="373"/>
      <c r="N3" s="373"/>
      <c r="O3" s="373"/>
      <c r="P3" s="373"/>
      <c r="Q3" s="373"/>
      <c r="R3" s="373"/>
    </row>
    <row r="4" spans="1:18" ht="12" customHeight="1">
      <c r="A4" s="373"/>
      <c r="B4" s="373"/>
      <c r="C4" s="690" t="s">
        <v>251</v>
      </c>
      <c r="D4" s="690"/>
      <c r="E4" s="690"/>
      <c r="F4" s="690"/>
      <c r="G4" s="690"/>
      <c r="H4" s="690"/>
      <c r="I4" s="690"/>
      <c r="J4" s="690"/>
      <c r="K4" s="690"/>
      <c r="L4" s="690"/>
      <c r="M4" s="373"/>
      <c r="N4" s="373"/>
      <c r="O4" s="373"/>
      <c r="P4" s="373"/>
      <c r="Q4" s="373"/>
      <c r="R4" s="373"/>
    </row>
    <row r="5" spans="13:14" ht="12" customHeight="1">
      <c r="M5" s="424"/>
      <c r="N5" s="424"/>
    </row>
    <row r="6" spans="1:16" ht="12" customHeight="1">
      <c r="A6" s="387"/>
      <c r="B6" s="387"/>
      <c r="D6" s="687" t="s">
        <v>248</v>
      </c>
      <c r="E6" s="688"/>
      <c r="F6" s="688"/>
      <c r="G6" s="688"/>
      <c r="H6" s="688"/>
      <c r="I6" s="688"/>
      <c r="J6" s="688"/>
      <c r="K6" s="689"/>
      <c r="L6" s="388"/>
      <c r="M6" s="425"/>
      <c r="N6" s="425"/>
      <c r="O6" s="389"/>
      <c r="P6" s="686"/>
    </row>
    <row r="7" spans="4:17" ht="12" customHeight="1">
      <c r="D7" s="390"/>
      <c r="E7" s="391"/>
      <c r="F7" s="391" t="s">
        <v>249</v>
      </c>
      <c r="G7" s="391"/>
      <c r="H7" s="391"/>
      <c r="I7" s="392"/>
      <c r="J7" s="397" t="s">
        <v>346</v>
      </c>
      <c r="K7" s="487"/>
      <c r="L7" s="393"/>
      <c r="M7" s="426"/>
      <c r="N7" s="427"/>
      <c r="O7" s="394"/>
      <c r="P7" s="686"/>
      <c r="Q7" s="375"/>
    </row>
    <row r="8" spans="4:17" ht="12" customHeight="1">
      <c r="D8" s="395"/>
      <c r="E8" s="396" t="s">
        <v>257</v>
      </c>
      <c r="F8" s="396" t="s">
        <v>335</v>
      </c>
      <c r="G8" s="396"/>
      <c r="H8" s="397" t="s">
        <v>254</v>
      </c>
      <c r="I8" s="397"/>
      <c r="J8" s="397" t="s">
        <v>143</v>
      </c>
      <c r="K8" s="488"/>
      <c r="L8" s="393"/>
      <c r="M8" s="426"/>
      <c r="N8" s="427"/>
      <c r="O8" s="394"/>
      <c r="P8" s="686"/>
      <c r="Q8" s="375"/>
    </row>
    <row r="9" spans="4:17" ht="12" customHeight="1">
      <c r="D9" s="396" t="s">
        <v>405</v>
      </c>
      <c r="E9" s="398" t="s">
        <v>406</v>
      </c>
      <c r="F9" s="398" t="s">
        <v>174</v>
      </c>
      <c r="G9" s="398" t="s">
        <v>420</v>
      </c>
      <c r="H9" s="397" t="s">
        <v>253</v>
      </c>
      <c r="I9" s="399" t="s">
        <v>173</v>
      </c>
      <c r="J9" s="399" t="s">
        <v>141</v>
      </c>
      <c r="K9" s="489" t="s">
        <v>178</v>
      </c>
      <c r="L9" s="393"/>
      <c r="M9" s="426"/>
      <c r="N9" s="427"/>
      <c r="O9" s="394"/>
      <c r="P9" s="686"/>
      <c r="Q9" s="376"/>
    </row>
    <row r="10" spans="1:17" ht="12" customHeight="1">
      <c r="A10" s="400" t="s">
        <v>252</v>
      </c>
      <c r="B10" s="400"/>
      <c r="D10" s="398">
        <v>6100</v>
      </c>
      <c r="E10" s="401">
        <v>6200</v>
      </c>
      <c r="F10" s="401">
        <v>6500</v>
      </c>
      <c r="G10" s="401">
        <v>6600</v>
      </c>
      <c r="H10" s="401">
        <v>6810</v>
      </c>
      <c r="I10" s="402">
        <v>6890</v>
      </c>
      <c r="J10" s="399" t="s">
        <v>142</v>
      </c>
      <c r="K10" s="490" t="s">
        <v>179</v>
      </c>
      <c r="L10" s="393"/>
      <c r="M10" s="428"/>
      <c r="N10" s="427"/>
      <c r="O10" s="394"/>
      <c r="P10" s="686"/>
      <c r="Q10" s="377"/>
    </row>
    <row r="11" spans="1:17" ht="12" customHeight="1">
      <c r="A11" s="403" t="s">
        <v>347</v>
      </c>
      <c r="B11" s="403"/>
      <c r="C11" s="404" t="s">
        <v>428</v>
      </c>
      <c r="D11" s="439">
        <v>509108</v>
      </c>
      <c r="E11" s="439">
        <v>130809</v>
      </c>
      <c r="F11" s="439">
        <v>51311</v>
      </c>
      <c r="G11" s="439">
        <v>23452</v>
      </c>
      <c r="H11" s="440">
        <v>262</v>
      </c>
      <c r="I11" s="440">
        <v>11658</v>
      </c>
      <c r="J11" s="440">
        <v>296947</v>
      </c>
      <c r="K11" s="440"/>
      <c r="L11" s="405" t="s">
        <v>428</v>
      </c>
      <c r="M11" s="423"/>
      <c r="N11" s="423"/>
      <c r="O11" s="405"/>
      <c r="P11" s="378"/>
      <c r="Q11" s="379"/>
    </row>
    <row r="12" spans="1:17" ht="12" customHeight="1">
      <c r="A12" s="372" t="s">
        <v>307</v>
      </c>
      <c r="C12" s="404"/>
      <c r="D12" s="441"/>
      <c r="E12" s="441"/>
      <c r="F12" s="441"/>
      <c r="G12" s="441"/>
      <c r="H12" s="290"/>
      <c r="I12" s="290"/>
      <c r="J12" s="290"/>
      <c r="K12" s="290"/>
      <c r="L12" s="379"/>
      <c r="M12" s="406"/>
      <c r="N12" s="406"/>
      <c r="O12" s="379"/>
      <c r="P12" s="685"/>
      <c r="Q12" s="379"/>
    </row>
    <row r="13" spans="1:17" ht="12" customHeight="1">
      <c r="A13" s="403" t="s">
        <v>164</v>
      </c>
      <c r="B13" s="403"/>
      <c r="C13" s="404" t="s">
        <v>429</v>
      </c>
      <c r="D13" s="442">
        <v>48375</v>
      </c>
      <c r="E13" s="442">
        <v>13166</v>
      </c>
      <c r="F13" s="442">
        <v>55191</v>
      </c>
      <c r="G13" s="442"/>
      <c r="H13" s="356"/>
      <c r="I13" s="356"/>
      <c r="J13" s="356"/>
      <c r="K13" s="356"/>
      <c r="L13" s="379" t="s">
        <v>429</v>
      </c>
      <c r="M13" s="406"/>
      <c r="N13" s="406"/>
      <c r="O13" s="379"/>
      <c r="P13" s="685"/>
      <c r="Q13" s="379"/>
    </row>
    <row r="14" spans="1:17" ht="12" customHeight="1">
      <c r="A14" s="403" t="s">
        <v>165</v>
      </c>
      <c r="B14" s="403"/>
      <c r="C14" s="404" t="s">
        <v>430</v>
      </c>
      <c r="D14" s="439">
        <v>29997</v>
      </c>
      <c r="E14" s="439">
        <v>5962</v>
      </c>
      <c r="F14" s="439">
        <v>83690</v>
      </c>
      <c r="G14" s="439"/>
      <c r="H14" s="440"/>
      <c r="I14" s="440"/>
      <c r="J14" s="440"/>
      <c r="K14" s="440"/>
      <c r="L14" s="379" t="s">
        <v>430</v>
      </c>
      <c r="M14" s="423"/>
      <c r="N14" s="423"/>
      <c r="O14" s="379"/>
      <c r="P14" s="378"/>
      <c r="Q14" s="379"/>
    </row>
    <row r="15" spans="1:17" ht="12" customHeight="1">
      <c r="A15" s="403" t="s">
        <v>166</v>
      </c>
      <c r="B15" s="403"/>
      <c r="C15" s="404" t="s">
        <v>431</v>
      </c>
      <c r="D15" s="439"/>
      <c r="E15" s="439"/>
      <c r="F15" s="439">
        <v>48974</v>
      </c>
      <c r="G15" s="439"/>
      <c r="H15" s="440">
        <v>908</v>
      </c>
      <c r="I15" s="440">
        <v>76</v>
      </c>
      <c r="J15" s="440"/>
      <c r="K15" s="440"/>
      <c r="L15" s="379" t="s">
        <v>431</v>
      </c>
      <c r="M15" s="423"/>
      <c r="N15" s="423"/>
      <c r="O15" s="379"/>
      <c r="P15" s="378"/>
      <c r="Q15" s="379"/>
    </row>
    <row r="16" spans="1:17" ht="12" customHeight="1">
      <c r="A16" s="407" t="s">
        <v>167</v>
      </c>
      <c r="B16" s="407"/>
      <c r="C16" s="408" t="s">
        <v>432</v>
      </c>
      <c r="D16" s="439">
        <v>153477</v>
      </c>
      <c r="E16" s="439">
        <v>42684</v>
      </c>
      <c r="F16" s="439">
        <v>76682</v>
      </c>
      <c r="G16" s="439">
        <v>15577</v>
      </c>
      <c r="H16" s="440">
        <v>875</v>
      </c>
      <c r="I16" s="440">
        <v>7735</v>
      </c>
      <c r="J16" s="440"/>
      <c r="K16" s="440"/>
      <c r="L16" s="380" t="s">
        <v>432</v>
      </c>
      <c r="M16" s="423"/>
      <c r="N16" s="423"/>
      <c r="O16" s="380"/>
      <c r="P16" s="378"/>
      <c r="Q16" s="380"/>
    </row>
    <row r="17" spans="1:17" ht="12" customHeight="1">
      <c r="A17" s="409" t="s">
        <v>168</v>
      </c>
      <c r="B17" s="409"/>
      <c r="C17" s="408" t="s">
        <v>433</v>
      </c>
      <c r="D17" s="439"/>
      <c r="E17" s="439"/>
      <c r="F17" s="439">
        <v>42401</v>
      </c>
      <c r="G17" s="439"/>
      <c r="H17" s="440">
        <v>358</v>
      </c>
      <c r="I17" s="440"/>
      <c r="J17" s="440"/>
      <c r="K17" s="440"/>
      <c r="L17" s="380" t="s">
        <v>433</v>
      </c>
      <c r="M17" s="423"/>
      <c r="N17" s="423"/>
      <c r="O17" s="380"/>
      <c r="P17" s="378"/>
      <c r="Q17" s="380"/>
    </row>
    <row r="18" spans="1:17" ht="12" customHeight="1">
      <c r="A18" s="403" t="s">
        <v>169</v>
      </c>
      <c r="B18" s="403"/>
      <c r="C18" s="408" t="s">
        <v>434</v>
      </c>
      <c r="D18" s="439"/>
      <c r="E18" s="439"/>
      <c r="F18" s="439">
        <v>193383</v>
      </c>
      <c r="G18" s="439">
        <v>55879</v>
      </c>
      <c r="H18" s="440"/>
      <c r="I18" s="440"/>
      <c r="J18" s="440"/>
      <c r="K18" s="440"/>
      <c r="L18" s="380" t="s">
        <v>434</v>
      </c>
      <c r="M18" s="423"/>
      <c r="N18" s="423"/>
      <c r="O18" s="380"/>
      <c r="P18" s="378"/>
      <c r="Q18" s="380"/>
    </row>
    <row r="19" spans="1:17" ht="12" customHeight="1">
      <c r="A19" s="410" t="s">
        <v>170</v>
      </c>
      <c r="B19" s="410"/>
      <c r="C19" s="408" t="s">
        <v>436</v>
      </c>
      <c r="D19" s="439"/>
      <c r="E19" s="439"/>
      <c r="F19" s="439"/>
      <c r="G19" s="439"/>
      <c r="H19" s="440"/>
      <c r="I19" s="440"/>
      <c r="J19" s="440">
        <v>172201</v>
      </c>
      <c r="K19" s="440"/>
      <c r="L19" s="380" t="s">
        <v>436</v>
      </c>
      <c r="M19" s="423"/>
      <c r="N19" s="423"/>
      <c r="O19" s="380"/>
      <c r="P19" s="378"/>
      <c r="Q19" s="380"/>
    </row>
    <row r="20" spans="1:17" ht="12" customHeight="1">
      <c r="A20" s="403" t="s">
        <v>255</v>
      </c>
      <c r="B20" s="403"/>
      <c r="C20" s="408"/>
      <c r="D20" s="441"/>
      <c r="E20" s="441"/>
      <c r="F20" s="441"/>
      <c r="G20" s="441"/>
      <c r="H20" s="290"/>
      <c r="I20" s="290"/>
      <c r="J20" s="290"/>
      <c r="K20" s="290"/>
      <c r="L20" s="380"/>
      <c r="M20" s="406"/>
      <c r="N20" s="406"/>
      <c r="O20" s="380"/>
      <c r="P20" s="685"/>
      <c r="Q20" s="380"/>
    </row>
    <row r="21" spans="1:17" ht="12" customHeight="1">
      <c r="A21" s="410" t="s">
        <v>171</v>
      </c>
      <c r="B21" s="410"/>
      <c r="C21" s="408" t="s">
        <v>437</v>
      </c>
      <c r="D21" s="442">
        <v>7421</v>
      </c>
      <c r="E21" s="442">
        <v>2544</v>
      </c>
      <c r="F21" s="442">
        <v>133131</v>
      </c>
      <c r="G21" s="442"/>
      <c r="H21" s="356">
        <v>598</v>
      </c>
      <c r="I21" s="356"/>
      <c r="J21" s="356"/>
      <c r="K21" s="356"/>
      <c r="L21" s="380" t="s">
        <v>437</v>
      </c>
      <c r="M21" s="406"/>
      <c r="N21" s="406"/>
      <c r="O21" s="380"/>
      <c r="P21" s="685"/>
      <c r="Q21" s="380"/>
    </row>
    <row r="22" spans="1:17" ht="12" customHeight="1">
      <c r="A22" s="410" t="s">
        <v>172</v>
      </c>
      <c r="B22" s="410"/>
      <c r="C22" s="408" t="s">
        <v>438</v>
      </c>
      <c r="D22" s="318"/>
      <c r="E22" s="318"/>
      <c r="F22" s="318"/>
      <c r="G22" s="318"/>
      <c r="H22" s="443"/>
      <c r="I22" s="443"/>
      <c r="J22" s="443"/>
      <c r="K22" s="443"/>
      <c r="L22" s="380" t="s">
        <v>438</v>
      </c>
      <c r="M22" s="406"/>
      <c r="N22" s="406"/>
      <c r="O22" s="380"/>
      <c r="P22" s="378"/>
      <c r="Q22" s="380"/>
    </row>
    <row r="23" spans="1:17" ht="12" customHeight="1">
      <c r="A23" s="410" t="s">
        <v>163</v>
      </c>
      <c r="B23" s="410"/>
      <c r="C23" s="408" t="s">
        <v>439</v>
      </c>
      <c r="D23" s="318"/>
      <c r="E23" s="318"/>
      <c r="F23" s="318"/>
      <c r="G23" s="318"/>
      <c r="H23" s="443"/>
      <c r="I23" s="443"/>
      <c r="J23" s="443"/>
      <c r="K23" s="443"/>
      <c r="L23" s="380" t="s">
        <v>439</v>
      </c>
      <c r="M23" s="406"/>
      <c r="N23" s="406"/>
      <c r="O23" s="380"/>
      <c r="P23" s="378"/>
      <c r="Q23" s="380"/>
    </row>
    <row r="24" spans="1:17" ht="12" customHeight="1">
      <c r="A24" s="403" t="s">
        <v>177</v>
      </c>
      <c r="B24" s="403"/>
      <c r="C24" s="408" t="s">
        <v>440</v>
      </c>
      <c r="D24" s="319">
        <f aca="true" t="shared" si="0" ref="D24:K24">SUM(D11:D23)</f>
        <v>748378</v>
      </c>
      <c r="E24" s="319">
        <f t="shared" si="0"/>
        <v>195165</v>
      </c>
      <c r="F24" s="319">
        <f t="shared" si="0"/>
        <v>684763</v>
      </c>
      <c r="G24" s="319">
        <f t="shared" si="0"/>
        <v>94908</v>
      </c>
      <c r="H24" s="319">
        <f t="shared" si="0"/>
        <v>3001</v>
      </c>
      <c r="I24" s="319">
        <f t="shared" si="0"/>
        <v>19469</v>
      </c>
      <c r="J24" s="319">
        <f>SUM(J11:J23)</f>
        <v>469148</v>
      </c>
      <c r="K24" s="319">
        <f t="shared" si="0"/>
        <v>0</v>
      </c>
      <c r="L24" s="380" t="s">
        <v>440</v>
      </c>
      <c r="M24" s="406"/>
      <c r="N24" s="406"/>
      <c r="O24" s="380"/>
      <c r="P24" s="381"/>
      <c r="Q24" s="380"/>
    </row>
    <row r="25" spans="1:17" ht="12" customHeight="1">
      <c r="A25" s="403"/>
      <c r="B25" s="403"/>
      <c r="C25" s="408"/>
      <c r="D25" s="411"/>
      <c r="E25" s="411"/>
      <c r="F25" s="411"/>
      <c r="G25" s="411"/>
      <c r="H25" s="411"/>
      <c r="I25" s="411"/>
      <c r="J25" s="411"/>
      <c r="K25" s="411"/>
      <c r="L25" s="411"/>
      <c r="M25" s="429"/>
      <c r="N25" s="429"/>
      <c r="O25" s="380"/>
      <c r="P25" s="381"/>
      <c r="Q25" s="380"/>
    </row>
    <row r="26" spans="1:17" ht="12" customHeight="1">
      <c r="A26" s="403"/>
      <c r="B26" s="403"/>
      <c r="C26" s="408"/>
      <c r="D26" s="411"/>
      <c r="E26" s="411"/>
      <c r="F26" s="411"/>
      <c r="G26" s="429"/>
      <c r="H26" s="429"/>
      <c r="I26" s="429"/>
      <c r="J26" s="429"/>
      <c r="K26" s="429"/>
      <c r="L26" s="429"/>
      <c r="M26" s="429"/>
      <c r="N26" s="429"/>
      <c r="O26" s="430"/>
      <c r="P26" s="431"/>
      <c r="Q26" s="430"/>
    </row>
    <row r="27" spans="4:17" s="188" customFormat="1" ht="12" customHeight="1">
      <c r="D27" s="412" t="s">
        <v>180</v>
      </c>
      <c r="E27" s="447"/>
      <c r="G27" s="286"/>
      <c r="H27" s="461" t="s">
        <v>43</v>
      </c>
      <c r="I27" s="452"/>
      <c r="J27" s="461"/>
      <c r="K27" s="432"/>
      <c r="L27" s="286"/>
      <c r="M27" s="286"/>
      <c r="N27" s="286"/>
      <c r="O27" s="286"/>
      <c r="P27" s="286"/>
      <c r="Q27" s="286"/>
    </row>
    <row r="28" spans="3:17" s="188" customFormat="1" ht="12" customHeight="1">
      <c r="C28" s="413"/>
      <c r="D28" s="414" t="s">
        <v>181</v>
      </c>
      <c r="E28" s="448"/>
      <c r="G28" s="286"/>
      <c r="H28" s="680" t="s">
        <v>67</v>
      </c>
      <c r="I28" s="680"/>
      <c r="J28" s="681"/>
      <c r="K28" s="318">
        <v>0</v>
      </c>
      <c r="L28" s="413" t="s">
        <v>428</v>
      </c>
      <c r="M28" s="286"/>
      <c r="N28" s="286"/>
      <c r="O28" s="286"/>
      <c r="P28" s="286"/>
      <c r="Q28" s="286"/>
    </row>
    <row r="29" spans="3:17" s="188" customFormat="1" ht="12" customHeight="1">
      <c r="C29" s="413"/>
      <c r="D29" s="414" t="s">
        <v>184</v>
      </c>
      <c r="E29" s="459" t="s">
        <v>182</v>
      </c>
      <c r="G29" s="286"/>
      <c r="H29" s="680" t="s">
        <v>68</v>
      </c>
      <c r="I29" s="680"/>
      <c r="J29" s="681"/>
      <c r="K29" s="318">
        <v>0</v>
      </c>
      <c r="L29" s="413" t="s">
        <v>429</v>
      </c>
      <c r="M29" s="286"/>
      <c r="N29" s="286"/>
      <c r="O29" s="286"/>
      <c r="P29" s="286"/>
      <c r="Q29" s="286"/>
    </row>
    <row r="30" spans="3:17" s="188" customFormat="1" ht="12" customHeight="1">
      <c r="C30" s="413"/>
      <c r="D30" s="415" t="s">
        <v>183</v>
      </c>
      <c r="E30" s="460" t="s">
        <v>179</v>
      </c>
      <c r="G30" s="286"/>
      <c r="H30" s="680" t="s">
        <v>69</v>
      </c>
      <c r="I30" s="680"/>
      <c r="J30" s="681"/>
      <c r="K30" s="318">
        <v>0</v>
      </c>
      <c r="L30" s="413" t="s">
        <v>430</v>
      </c>
      <c r="N30" s="286"/>
      <c r="O30" s="286"/>
      <c r="P30" s="286"/>
      <c r="Q30" s="286"/>
    </row>
    <row r="31" spans="1:17" s="188" customFormat="1" ht="12" customHeight="1">
      <c r="A31" s="682" t="s">
        <v>106</v>
      </c>
      <c r="B31" s="682"/>
      <c r="C31" s="681"/>
      <c r="D31" s="318"/>
      <c r="E31" s="318">
        <v>0</v>
      </c>
      <c r="F31" s="417" t="s">
        <v>428</v>
      </c>
      <c r="G31" s="433"/>
      <c r="M31" s="417"/>
      <c r="N31" s="434"/>
      <c r="O31" s="286"/>
      <c r="P31" s="435"/>
      <c r="Q31" s="286"/>
    </row>
    <row r="32" spans="1:17" s="188" customFormat="1" ht="12" customHeight="1">
      <c r="A32" s="682" t="s">
        <v>107</v>
      </c>
      <c r="B32" s="682"/>
      <c r="C32" s="681"/>
      <c r="D32" s="318"/>
      <c r="E32" s="318">
        <v>0</v>
      </c>
      <c r="F32" s="417" t="s">
        <v>429</v>
      </c>
      <c r="G32" s="433"/>
      <c r="M32" s="417"/>
      <c r="N32" s="435"/>
      <c r="O32" s="286"/>
      <c r="P32" s="429"/>
      <c r="Q32" s="436"/>
    </row>
    <row r="33" spans="1:17" s="188" customFormat="1" ht="12" customHeight="1">
      <c r="A33" s="682" t="s">
        <v>108</v>
      </c>
      <c r="B33" s="682"/>
      <c r="C33" s="681"/>
      <c r="D33" s="318"/>
      <c r="E33" s="318">
        <v>0</v>
      </c>
      <c r="F33" s="417" t="s">
        <v>430</v>
      </c>
      <c r="G33" s="433"/>
      <c r="H33" s="461" t="s">
        <v>119</v>
      </c>
      <c r="I33" s="452"/>
      <c r="M33" s="286"/>
      <c r="N33" s="435"/>
      <c r="O33" s="286"/>
      <c r="P33" s="429"/>
      <c r="Q33" s="436"/>
    </row>
    <row r="34" spans="1:17" s="188" customFormat="1" ht="12" customHeight="1">
      <c r="A34" s="682" t="s">
        <v>109</v>
      </c>
      <c r="B34" s="682"/>
      <c r="C34" s="681"/>
      <c r="D34" s="318"/>
      <c r="E34" s="318">
        <v>0</v>
      </c>
      <c r="F34" s="417" t="s">
        <v>431</v>
      </c>
      <c r="G34" s="433"/>
      <c r="H34" s="680" t="s">
        <v>44</v>
      </c>
      <c r="I34" s="680"/>
      <c r="J34" s="681"/>
      <c r="K34" s="318">
        <v>160548</v>
      </c>
      <c r="L34" s="413" t="s">
        <v>428</v>
      </c>
      <c r="M34" s="286"/>
      <c r="N34" s="429"/>
      <c r="O34" s="436"/>
      <c r="P34" s="429"/>
      <c r="Q34" s="436"/>
    </row>
    <row r="35" spans="1:17" s="188" customFormat="1" ht="12" customHeight="1">
      <c r="A35" s="416"/>
      <c r="B35" s="416"/>
      <c r="C35" s="413"/>
      <c r="D35" s="416"/>
      <c r="E35" s="416"/>
      <c r="F35" s="417"/>
      <c r="G35" s="433"/>
      <c r="H35" s="680" t="s">
        <v>45</v>
      </c>
      <c r="I35" s="680"/>
      <c r="J35" s="681"/>
      <c r="K35" s="318">
        <v>8280</v>
      </c>
      <c r="L35" s="413" t="s">
        <v>429</v>
      </c>
      <c r="M35" s="286"/>
      <c r="N35" s="429"/>
      <c r="O35" s="436"/>
      <c r="P35" s="429"/>
      <c r="Q35" s="436"/>
    </row>
    <row r="36" spans="1:17" s="188" customFormat="1" ht="12" customHeight="1">
      <c r="A36" s="416"/>
      <c r="B36" s="416"/>
      <c r="C36" s="413"/>
      <c r="D36" s="416"/>
      <c r="E36" s="416"/>
      <c r="F36" s="417"/>
      <c r="G36" s="433"/>
      <c r="H36" s="680" t="s">
        <v>46</v>
      </c>
      <c r="I36" s="680"/>
      <c r="J36" s="681"/>
      <c r="K36" s="318">
        <v>85838</v>
      </c>
      <c r="L36" s="413" t="s">
        <v>430</v>
      </c>
      <c r="M36" s="286"/>
      <c r="N36" s="429"/>
      <c r="O36" s="436"/>
      <c r="P36" s="429"/>
      <c r="Q36" s="436"/>
    </row>
    <row r="37" spans="1:17" s="188" customFormat="1" ht="12" customHeight="1">
      <c r="A37" s="461" t="s">
        <v>189</v>
      </c>
      <c r="B37" s="452"/>
      <c r="C37" s="3"/>
      <c r="D37" s="418" t="s">
        <v>176</v>
      </c>
      <c r="E37" s="3"/>
      <c r="F37" s="417"/>
      <c r="G37" s="433"/>
      <c r="H37" s="680" t="s">
        <v>47</v>
      </c>
      <c r="I37" s="680"/>
      <c r="J37" s="681"/>
      <c r="K37" s="319">
        <f>K34+K35-K36</f>
        <v>82990</v>
      </c>
      <c r="L37" s="413" t="s">
        <v>431</v>
      </c>
      <c r="M37" s="286"/>
      <c r="N37" s="429"/>
      <c r="O37" s="436"/>
      <c r="P37" s="429"/>
      <c r="Q37" s="436"/>
    </row>
    <row r="38" spans="1:17" ht="12" customHeight="1">
      <c r="A38" s="678" t="s">
        <v>110</v>
      </c>
      <c r="B38" s="678"/>
      <c r="C38" s="679"/>
      <c r="D38" s="444">
        <v>0</v>
      </c>
      <c r="E38" s="417" t="s">
        <v>428</v>
      </c>
      <c r="G38" s="424"/>
      <c r="M38" s="424"/>
      <c r="N38" s="424"/>
      <c r="O38" s="424"/>
      <c r="P38" s="424"/>
      <c r="Q38" s="424"/>
    </row>
    <row r="39" spans="1:17" ht="12" customHeight="1">
      <c r="A39" s="678" t="s">
        <v>111</v>
      </c>
      <c r="B39" s="678"/>
      <c r="C39" s="679"/>
      <c r="D39" s="337">
        <v>0</v>
      </c>
      <c r="E39" s="417" t="s">
        <v>429</v>
      </c>
      <c r="G39" s="424"/>
      <c r="H39" s="680" t="s">
        <v>48</v>
      </c>
      <c r="I39" s="680"/>
      <c r="J39" s="682"/>
      <c r="K39" s="318">
        <v>0</v>
      </c>
      <c r="L39" s="413" t="s">
        <v>432</v>
      </c>
      <c r="M39" s="424"/>
      <c r="N39" s="424"/>
      <c r="O39" s="424"/>
      <c r="P39" s="424"/>
      <c r="Q39" s="424"/>
    </row>
    <row r="40" spans="1:17" ht="12" customHeight="1">
      <c r="A40" s="678" t="s">
        <v>112</v>
      </c>
      <c r="B40" s="678"/>
      <c r="C40" s="679"/>
      <c r="D40" s="337">
        <v>0</v>
      </c>
      <c r="E40" s="417" t="s">
        <v>430</v>
      </c>
      <c r="G40" s="424"/>
      <c r="H40" s="680" t="s">
        <v>49</v>
      </c>
      <c r="I40" s="680"/>
      <c r="J40" s="680"/>
      <c r="K40" s="318">
        <v>0</v>
      </c>
      <c r="L40" s="413" t="s">
        <v>433</v>
      </c>
      <c r="M40" s="424"/>
      <c r="N40" s="424"/>
      <c r="O40" s="424"/>
      <c r="P40" s="424"/>
      <c r="Q40" s="424"/>
    </row>
    <row r="41" spans="1:17" ht="12" customHeight="1">
      <c r="A41" s="678" t="s">
        <v>113</v>
      </c>
      <c r="B41" s="678"/>
      <c r="C41" s="679"/>
      <c r="D41" s="337">
        <v>0</v>
      </c>
      <c r="E41" s="417" t="s">
        <v>431</v>
      </c>
      <c r="G41" s="424"/>
      <c r="M41" s="417"/>
      <c r="N41" s="424"/>
      <c r="O41" s="424"/>
      <c r="P41" s="424"/>
      <c r="Q41" s="424"/>
    </row>
    <row r="42" spans="1:17" ht="12" customHeight="1">
      <c r="A42" s="3"/>
      <c r="B42" s="3"/>
      <c r="C42" s="413"/>
      <c r="D42" s="2"/>
      <c r="E42" s="2"/>
      <c r="G42" s="424"/>
      <c r="H42" s="437"/>
      <c r="I42" s="435"/>
      <c r="J42" s="435"/>
      <c r="K42" s="435"/>
      <c r="L42" s="435"/>
      <c r="M42" s="417"/>
      <c r="N42" s="424"/>
      <c r="O42" s="424"/>
      <c r="P42" s="424"/>
      <c r="Q42" s="424"/>
    </row>
    <row r="43" spans="1:17" s="188" customFormat="1" ht="12" customHeight="1">
      <c r="A43" s="372"/>
      <c r="B43" s="372"/>
      <c r="C43" s="372"/>
      <c r="D43" s="419"/>
      <c r="E43" s="372"/>
      <c r="F43" s="420"/>
      <c r="G43" s="433"/>
      <c r="H43" s="461" t="s">
        <v>120</v>
      </c>
      <c r="I43" s="452"/>
      <c r="J43" s="461"/>
      <c r="M43" s="286"/>
      <c r="N43" s="429"/>
      <c r="O43" s="438"/>
      <c r="P43" s="429"/>
      <c r="Q43" s="436"/>
    </row>
    <row r="44" spans="1:17" ht="12.75" customHeight="1">
      <c r="A44" s="462" t="s">
        <v>175</v>
      </c>
      <c r="B44" s="463"/>
      <c r="D44" s="415" t="s">
        <v>176</v>
      </c>
      <c r="G44" s="424"/>
      <c r="H44" s="680" t="s">
        <v>116</v>
      </c>
      <c r="I44" s="680"/>
      <c r="J44" s="681"/>
      <c r="K44" s="318">
        <v>4896</v>
      </c>
      <c r="L44" s="413" t="s">
        <v>428</v>
      </c>
      <c r="M44" s="424"/>
      <c r="N44" s="424"/>
      <c r="O44" s="424"/>
      <c r="P44" s="424"/>
      <c r="Q44" s="424"/>
    </row>
    <row r="45" spans="1:17" ht="12.75" customHeight="1">
      <c r="A45" s="680" t="s">
        <v>114</v>
      </c>
      <c r="B45" s="680"/>
      <c r="C45" s="681"/>
      <c r="D45" s="444">
        <v>8794</v>
      </c>
      <c r="E45" s="417" t="s">
        <v>428</v>
      </c>
      <c r="H45" s="680" t="s">
        <v>122</v>
      </c>
      <c r="I45" s="680"/>
      <c r="J45" s="681"/>
      <c r="K45" s="318">
        <v>49416</v>
      </c>
      <c r="L45" s="413" t="s">
        <v>429</v>
      </c>
      <c r="M45" s="424"/>
      <c r="N45" s="424"/>
      <c r="O45" s="424"/>
      <c r="P45" s="424"/>
      <c r="Q45" s="424"/>
    </row>
    <row r="46" spans="1:17" ht="12.75" customHeight="1">
      <c r="A46" s="680" t="s">
        <v>115</v>
      </c>
      <c r="B46" s="680"/>
      <c r="C46" s="681"/>
      <c r="D46" s="445">
        <v>19291</v>
      </c>
      <c r="E46" s="417" t="s">
        <v>429</v>
      </c>
      <c r="G46" s="403"/>
      <c r="M46" s="424"/>
      <c r="N46" s="424"/>
      <c r="O46" s="424"/>
      <c r="P46" s="424"/>
      <c r="Q46" s="424"/>
    </row>
    <row r="47" spans="13:17" ht="12.75" customHeight="1">
      <c r="M47" s="424"/>
      <c r="N47" s="424"/>
      <c r="O47" s="424"/>
      <c r="P47" s="424"/>
      <c r="Q47" s="424"/>
    </row>
    <row r="48" spans="8:17" ht="12.75" customHeight="1">
      <c r="H48" s="461" t="s">
        <v>121</v>
      </c>
      <c r="I48" s="461"/>
      <c r="M48" s="424"/>
      <c r="N48" s="424"/>
      <c r="O48" s="424"/>
      <c r="P48" s="424"/>
      <c r="Q48" s="424"/>
    </row>
    <row r="49" spans="1:17" ht="12.75" customHeight="1">
      <c r="A49" s="416"/>
      <c r="B49" s="416"/>
      <c r="C49" s="413"/>
      <c r="D49" s="416"/>
      <c r="E49" s="416"/>
      <c r="G49" s="424"/>
      <c r="H49" s="403" t="s">
        <v>73</v>
      </c>
      <c r="I49" s="403"/>
      <c r="J49" s="508"/>
      <c r="K49" s="318">
        <v>0</v>
      </c>
      <c r="L49" s="413" t="s">
        <v>428</v>
      </c>
      <c r="M49" s="424"/>
      <c r="N49" s="424"/>
      <c r="O49" s="424"/>
      <c r="P49" s="424"/>
      <c r="Q49" s="424"/>
    </row>
    <row r="50" spans="1:17" ht="12.75" customHeight="1">
      <c r="A50" s="416"/>
      <c r="B50" s="416"/>
      <c r="C50" s="413"/>
      <c r="D50" s="416"/>
      <c r="E50" s="416"/>
      <c r="G50" s="424"/>
      <c r="H50" s="403" t="s">
        <v>72</v>
      </c>
      <c r="I50" s="403"/>
      <c r="J50" s="508"/>
      <c r="K50" s="318">
        <v>0</v>
      </c>
      <c r="L50" s="413" t="s">
        <v>429</v>
      </c>
      <c r="M50" s="424"/>
      <c r="N50" s="424"/>
      <c r="O50" s="424"/>
      <c r="P50" s="424"/>
      <c r="Q50" s="424"/>
    </row>
  </sheetData>
  <sheetProtection sheet="1" formatCells="0" formatColumns="0" formatRows="0"/>
  <mergeCells count="29">
    <mergeCell ref="A31:C31"/>
    <mergeCell ref="H28:J28"/>
    <mergeCell ref="H29:J29"/>
    <mergeCell ref="H30:J30"/>
    <mergeCell ref="F1:G1"/>
    <mergeCell ref="D6:K6"/>
    <mergeCell ref="C4:L4"/>
    <mergeCell ref="H35:J35"/>
    <mergeCell ref="Q1:R1"/>
    <mergeCell ref="P12:P13"/>
    <mergeCell ref="P20:P21"/>
    <mergeCell ref="P6:P10"/>
    <mergeCell ref="N1:O1"/>
    <mergeCell ref="H36:J36"/>
    <mergeCell ref="H37:J37"/>
    <mergeCell ref="H44:J44"/>
    <mergeCell ref="H45:J45"/>
    <mergeCell ref="A32:C32"/>
    <mergeCell ref="A33:C33"/>
    <mergeCell ref="A34:C34"/>
    <mergeCell ref="A38:C38"/>
    <mergeCell ref="A39:C39"/>
    <mergeCell ref="H34:J34"/>
    <mergeCell ref="A40:C40"/>
    <mergeCell ref="A41:C41"/>
    <mergeCell ref="A45:C45"/>
    <mergeCell ref="A46:C46"/>
    <mergeCell ref="H40:J40"/>
    <mergeCell ref="H39:J39"/>
  </mergeCells>
  <hyperlinks>
    <hyperlink ref="E29:E30" location="PropertyDisbursements" display="Property "/>
    <hyperlink ref="A37:B37" location="PropertyDisbursementsByType" display="Property Disbursements by Type"/>
    <hyperlink ref="A44" location="DebtService" display="Debt Service"/>
    <hyperlink ref="K9:K10" location="PropertyDisbursements" display="Property"/>
    <hyperlink ref="D6:K6" location="Programs610620630" display="Programs 100-600"/>
    <hyperlink ref="H33" location="DebtService" display="Debt Service"/>
    <hyperlink ref="H43" location="DebtService" display="Debt Service"/>
    <hyperlink ref="H33:I33" location="LongandShortTermDebt" display="Long-term and Short-term Debt"/>
    <hyperlink ref="H43:J43" location="UtilitiesandEnergyServices" display="Utilities and Energy Detail (Function 2600)"/>
    <hyperlink ref="H48" location="TechnologyDetail" display="Technology"/>
    <hyperlink ref="H27:J27" location="CashandInvestments" display="Cash and Investments held at June 30, 2017"/>
  </hyperlinks>
  <printOptions/>
  <pageMargins left="0.75" right="0.25" top="0.25" bottom="0.25" header="0.5" footer="0.15"/>
  <pageSetup fitToHeight="1" fitToWidth="1" horizontalDpi="600" verticalDpi="600" orientation="landscape" paperSize="5" scale="92"/>
  <headerFooter alignWithMargins="0">
    <oddFooter>&amp;LRev. 8/18&amp;CFY 2018&amp;RPage 10 of 10</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52"/>
  <sheetViews>
    <sheetView showGridLines="0" workbookViewId="0" topLeftCell="A1">
      <pane ySplit="1" topLeftCell="BM16" activePane="bottomLeft" state="frozen"/>
      <selection pane="topLeft" activeCell="A1" sqref="A1"/>
      <selection pane="bottomLeft" activeCell="C22" sqref="C22"/>
    </sheetView>
  </sheetViews>
  <sheetFormatPr defaultColWidth="9.33203125" defaultRowHeight="12.75"/>
  <cols>
    <col min="1" max="1" width="9.66015625" style="372" bestFit="1" customWidth="1"/>
    <col min="2" max="2" width="25.16015625" style="372" customWidth="1"/>
    <col min="3" max="3" width="101.33203125" style="372" customWidth="1"/>
    <col min="4" max="4" width="13.33203125" style="470" customWidth="1"/>
    <col min="5" max="16384" width="9.33203125" style="372" customWidth="1"/>
  </cols>
  <sheetData>
    <row r="1" spans="1:3" ht="24.75" customHeight="1">
      <c r="A1" s="468" t="s">
        <v>194</v>
      </c>
      <c r="B1" s="468" t="s">
        <v>195</v>
      </c>
      <c r="C1" s="469"/>
    </row>
    <row r="2" spans="1:7" ht="66" customHeight="1">
      <c r="A2" s="691" t="s">
        <v>196</v>
      </c>
      <c r="B2" s="692"/>
      <c r="C2" s="471" t="s">
        <v>126</v>
      </c>
      <c r="F2" s="188"/>
      <c r="G2" s="188"/>
    </row>
    <row r="3" spans="1:7" ht="63" customHeight="1">
      <c r="A3" s="693"/>
      <c r="B3" s="694"/>
      <c r="C3" s="472" t="s">
        <v>124</v>
      </c>
      <c r="F3" s="473"/>
      <c r="G3" s="474"/>
    </row>
    <row r="4" spans="1:3" ht="44.25" customHeight="1">
      <c r="A4" s="693"/>
      <c r="B4" s="694"/>
      <c r="C4" s="475" t="s">
        <v>100</v>
      </c>
    </row>
    <row r="5" spans="1:3" ht="167.25" customHeight="1">
      <c r="A5" s="693"/>
      <c r="B5" s="694"/>
      <c r="C5" s="471" t="s">
        <v>16</v>
      </c>
    </row>
    <row r="6" spans="1:3" ht="65.25" customHeight="1">
      <c r="A6" s="695"/>
      <c r="B6" s="696"/>
      <c r="C6" s="475" t="s">
        <v>15</v>
      </c>
    </row>
    <row r="7" spans="1:3" ht="65.25" customHeight="1">
      <c r="A7" s="491" t="s">
        <v>197</v>
      </c>
      <c r="B7" s="476" t="s">
        <v>198</v>
      </c>
      <c r="C7" s="475" t="s">
        <v>199</v>
      </c>
    </row>
    <row r="8" spans="1:3" ht="21" customHeight="1">
      <c r="A8" s="477">
        <v>1</v>
      </c>
      <c r="B8" s="478" t="s">
        <v>196</v>
      </c>
      <c r="C8" s="475" t="s">
        <v>200</v>
      </c>
    </row>
    <row r="9" spans="1:3" ht="54" customHeight="1">
      <c r="A9" s="482">
        <v>1</v>
      </c>
      <c r="B9" s="478" t="s">
        <v>74</v>
      </c>
      <c r="C9" s="475" t="s">
        <v>75</v>
      </c>
    </row>
    <row r="10" spans="1:3" ht="84">
      <c r="A10" s="482">
        <v>1</v>
      </c>
      <c r="B10" s="479" t="s">
        <v>144</v>
      </c>
      <c r="C10" s="480" t="s">
        <v>13</v>
      </c>
    </row>
    <row r="11" spans="1:3" ht="69.75" customHeight="1">
      <c r="A11" s="482">
        <v>1</v>
      </c>
      <c r="B11" s="479" t="s">
        <v>145</v>
      </c>
      <c r="C11" s="480" t="s">
        <v>101</v>
      </c>
    </row>
    <row r="12" spans="1:4" ht="36">
      <c r="A12" s="477">
        <v>2</v>
      </c>
      <c r="B12" s="479" t="s">
        <v>76</v>
      </c>
      <c r="C12" s="480" t="s">
        <v>50</v>
      </c>
      <c r="D12" s="481"/>
    </row>
    <row r="13" spans="1:3" ht="47.25" customHeight="1">
      <c r="A13" s="477">
        <v>2</v>
      </c>
      <c r="B13" s="479" t="s">
        <v>77</v>
      </c>
      <c r="C13" s="475" t="s">
        <v>51</v>
      </c>
    </row>
    <row r="14" spans="1:3" ht="111.75" customHeight="1">
      <c r="A14" s="482">
        <v>7</v>
      </c>
      <c r="B14" s="479" t="s">
        <v>89</v>
      </c>
      <c r="C14" s="480" t="s">
        <v>52</v>
      </c>
    </row>
    <row r="15" spans="1:3" ht="93.75" customHeight="1">
      <c r="A15" s="477">
        <v>7</v>
      </c>
      <c r="B15" s="479" t="s">
        <v>90</v>
      </c>
      <c r="C15" s="480" t="s">
        <v>34</v>
      </c>
    </row>
    <row r="16" spans="1:3" ht="45.75" customHeight="1">
      <c r="A16" s="477">
        <v>7</v>
      </c>
      <c r="B16" s="479" t="s">
        <v>91</v>
      </c>
      <c r="C16" s="480" t="s">
        <v>35</v>
      </c>
    </row>
    <row r="17" spans="1:3" ht="101.25" customHeight="1">
      <c r="A17" s="477">
        <v>7</v>
      </c>
      <c r="B17" s="479" t="s">
        <v>92</v>
      </c>
      <c r="C17" s="480" t="s">
        <v>36</v>
      </c>
    </row>
    <row r="18" spans="1:3" ht="36">
      <c r="A18" s="477">
        <v>7</v>
      </c>
      <c r="B18" s="479" t="s">
        <v>93</v>
      </c>
      <c r="C18" s="480" t="s">
        <v>37</v>
      </c>
    </row>
    <row r="19" spans="1:3" ht="145.5" customHeight="1">
      <c r="A19" s="477">
        <v>7</v>
      </c>
      <c r="B19" s="479" t="s">
        <v>94</v>
      </c>
      <c r="C19" s="480" t="s">
        <v>66</v>
      </c>
    </row>
    <row r="20" spans="1:3" ht="36">
      <c r="A20" s="477">
        <v>7</v>
      </c>
      <c r="B20" s="479" t="s">
        <v>95</v>
      </c>
      <c r="C20" s="480" t="s">
        <v>201</v>
      </c>
    </row>
    <row r="21" spans="1:3" ht="36">
      <c r="A21" s="477">
        <v>7</v>
      </c>
      <c r="B21" s="479" t="s">
        <v>96</v>
      </c>
      <c r="C21" s="480" t="s">
        <v>202</v>
      </c>
    </row>
    <row r="22" spans="1:3" ht="36">
      <c r="A22" s="477">
        <v>7</v>
      </c>
      <c r="B22" s="479" t="s">
        <v>97</v>
      </c>
      <c r="C22" s="480" t="s">
        <v>203</v>
      </c>
    </row>
    <row r="23" spans="1:3" ht="36">
      <c r="A23" s="477">
        <v>7</v>
      </c>
      <c r="B23" s="483" t="s">
        <v>98</v>
      </c>
      <c r="C23" s="480" t="s">
        <v>162</v>
      </c>
    </row>
    <row r="24" spans="1:3" ht="36">
      <c r="A24" s="477">
        <v>7</v>
      </c>
      <c r="B24" s="483" t="s">
        <v>59</v>
      </c>
      <c r="C24" s="480" t="s">
        <v>146</v>
      </c>
    </row>
    <row r="25" spans="1:3" ht="65.25" customHeight="1">
      <c r="A25" s="477">
        <v>7</v>
      </c>
      <c r="B25" s="483" t="s">
        <v>5</v>
      </c>
      <c r="C25" s="480" t="s">
        <v>6</v>
      </c>
    </row>
    <row r="26" spans="1:3" ht="36">
      <c r="A26" s="477">
        <v>7</v>
      </c>
      <c r="B26" s="483" t="s">
        <v>55</v>
      </c>
      <c r="C26" s="480" t="s">
        <v>0</v>
      </c>
    </row>
    <row r="27" spans="1:3" ht="48">
      <c r="A27" s="477">
        <v>7</v>
      </c>
      <c r="B27" s="479" t="s">
        <v>60</v>
      </c>
      <c r="C27" s="471" t="s">
        <v>19</v>
      </c>
    </row>
    <row r="28" spans="1:3" ht="36">
      <c r="A28" s="477">
        <v>7</v>
      </c>
      <c r="B28" s="479" t="s">
        <v>61</v>
      </c>
      <c r="C28" s="480" t="s">
        <v>123</v>
      </c>
    </row>
    <row r="29" spans="1:3" ht="47.25" customHeight="1">
      <c r="A29" s="477">
        <v>7</v>
      </c>
      <c r="B29" s="479" t="s">
        <v>62</v>
      </c>
      <c r="C29" s="480" t="s">
        <v>57</v>
      </c>
    </row>
    <row r="30" spans="1:3" ht="36">
      <c r="A30" s="477">
        <v>7</v>
      </c>
      <c r="B30" s="479" t="s">
        <v>63</v>
      </c>
      <c r="C30" s="480" t="s">
        <v>147</v>
      </c>
    </row>
    <row r="31" spans="1:3" ht="36">
      <c r="A31" s="477">
        <v>7</v>
      </c>
      <c r="B31" s="479" t="s">
        <v>64</v>
      </c>
      <c r="C31" s="480" t="s">
        <v>148</v>
      </c>
    </row>
    <row r="32" spans="1:4" s="374" customFormat="1" ht="36">
      <c r="A32" s="482">
        <v>7</v>
      </c>
      <c r="B32" s="483" t="s">
        <v>65</v>
      </c>
      <c r="C32" s="480" t="s">
        <v>125</v>
      </c>
      <c r="D32" s="484"/>
    </row>
    <row r="33" spans="1:4" s="374" customFormat="1" ht="36">
      <c r="A33" s="482">
        <v>7</v>
      </c>
      <c r="B33" s="483" t="s">
        <v>28</v>
      </c>
      <c r="C33" s="480" t="s">
        <v>3</v>
      </c>
      <c r="D33" s="484"/>
    </row>
    <row r="34" spans="1:3" s="374" customFormat="1" ht="36">
      <c r="A34" s="482">
        <v>7</v>
      </c>
      <c r="B34" s="483" t="s">
        <v>29</v>
      </c>
      <c r="C34" s="480" t="s">
        <v>1</v>
      </c>
    </row>
    <row r="35" spans="1:4" s="374" customFormat="1" ht="36">
      <c r="A35" s="482">
        <v>7</v>
      </c>
      <c r="B35" s="483" t="s">
        <v>30</v>
      </c>
      <c r="C35" s="480" t="s">
        <v>2</v>
      </c>
      <c r="D35" s="484"/>
    </row>
    <row r="36" spans="1:15" s="374" customFormat="1" ht="30.75" customHeight="1">
      <c r="A36" s="482">
        <v>8</v>
      </c>
      <c r="B36" s="479" t="s">
        <v>129</v>
      </c>
      <c r="C36" s="480" t="s">
        <v>130</v>
      </c>
      <c r="D36" s="484"/>
      <c r="E36" s="465"/>
      <c r="F36" s="465"/>
      <c r="G36" s="465"/>
      <c r="H36" s="465"/>
      <c r="I36" s="465"/>
      <c r="J36" s="465"/>
      <c r="K36" s="465"/>
      <c r="L36" s="465"/>
      <c r="M36" s="465"/>
      <c r="N36" s="465"/>
      <c r="O36" s="465"/>
    </row>
    <row r="37" spans="1:3" ht="42" customHeight="1">
      <c r="A37" s="477">
        <v>8</v>
      </c>
      <c r="B37" s="479" t="s">
        <v>131</v>
      </c>
      <c r="C37" s="475" t="s">
        <v>149</v>
      </c>
    </row>
    <row r="38" spans="1:3" ht="42" customHeight="1">
      <c r="A38" s="477">
        <v>8</v>
      </c>
      <c r="B38" s="479" t="s">
        <v>79</v>
      </c>
      <c r="C38" s="475" t="s">
        <v>80</v>
      </c>
    </row>
    <row r="39" spans="1:3" ht="21.75" customHeight="1">
      <c r="A39" s="482">
        <v>8</v>
      </c>
      <c r="B39" s="479" t="s">
        <v>161</v>
      </c>
      <c r="C39" s="480" t="s">
        <v>224</v>
      </c>
    </row>
    <row r="40" spans="1:3" ht="33.75" customHeight="1">
      <c r="A40" s="477">
        <v>9</v>
      </c>
      <c r="B40" s="479" t="s">
        <v>150</v>
      </c>
      <c r="C40" s="475" t="s">
        <v>153</v>
      </c>
    </row>
    <row r="41" spans="1:3" ht="53.25" customHeight="1">
      <c r="A41" s="477">
        <v>9</v>
      </c>
      <c r="B41" s="479" t="s">
        <v>140</v>
      </c>
      <c r="C41" s="475" t="s">
        <v>78</v>
      </c>
    </row>
    <row r="42" spans="1:3" ht="30" customHeight="1">
      <c r="A42" s="477">
        <v>9</v>
      </c>
      <c r="B42" s="479" t="s">
        <v>20</v>
      </c>
      <c r="C42" s="475" t="s">
        <v>21</v>
      </c>
    </row>
    <row r="43" spans="1:3" ht="169.5" customHeight="1">
      <c r="A43" s="477">
        <v>10</v>
      </c>
      <c r="B43" s="479" t="s">
        <v>196</v>
      </c>
      <c r="C43" s="480" t="s">
        <v>14</v>
      </c>
    </row>
    <row r="44" spans="1:3" ht="30" customHeight="1">
      <c r="A44" s="477">
        <v>10</v>
      </c>
      <c r="B44" s="479" t="s">
        <v>248</v>
      </c>
      <c r="C44" s="480" t="s">
        <v>102</v>
      </c>
    </row>
    <row r="45" spans="1:3" ht="74.25" customHeight="1">
      <c r="A45" s="477">
        <v>10</v>
      </c>
      <c r="B45" s="479" t="s">
        <v>151</v>
      </c>
      <c r="C45" s="475" t="s">
        <v>154</v>
      </c>
    </row>
    <row r="46" spans="1:3" ht="69.75" customHeight="1">
      <c r="A46" s="477">
        <v>10</v>
      </c>
      <c r="B46" s="479" t="s">
        <v>189</v>
      </c>
      <c r="C46" s="471" t="s">
        <v>99</v>
      </c>
    </row>
    <row r="47" spans="1:3" ht="47.25" customHeight="1">
      <c r="A47" s="477">
        <v>10</v>
      </c>
      <c r="B47" s="479" t="s">
        <v>175</v>
      </c>
      <c r="C47" s="475" t="s">
        <v>152</v>
      </c>
    </row>
    <row r="48" spans="1:3" ht="149.25" customHeight="1">
      <c r="A48" s="477">
        <v>10</v>
      </c>
      <c r="B48" s="479" t="s">
        <v>70</v>
      </c>
      <c r="C48" s="471" t="s">
        <v>56</v>
      </c>
    </row>
    <row r="49" spans="1:3" ht="132">
      <c r="A49" s="477">
        <v>10</v>
      </c>
      <c r="B49" s="476" t="s">
        <v>119</v>
      </c>
      <c r="C49" s="471" t="s">
        <v>53</v>
      </c>
    </row>
    <row r="50" spans="1:3" ht="50.25" customHeight="1">
      <c r="A50" s="477">
        <v>10</v>
      </c>
      <c r="B50" s="476" t="s">
        <v>118</v>
      </c>
      <c r="C50" s="471" t="s">
        <v>71</v>
      </c>
    </row>
    <row r="51" spans="1:3" ht="60">
      <c r="A51" s="477">
        <v>10</v>
      </c>
      <c r="B51" s="476" t="s">
        <v>117</v>
      </c>
      <c r="C51" s="475" t="s">
        <v>17</v>
      </c>
    </row>
    <row r="52" spans="1:3" ht="12">
      <c r="A52" s="485"/>
      <c r="B52" s="486"/>
      <c r="C52" s="481"/>
    </row>
  </sheetData>
  <sheetProtection sheet="1" formatCells="0" formatColumns="0" formatRows="0"/>
  <mergeCells count="1">
    <mergeCell ref="A2:B6"/>
  </mergeCells>
  <hyperlinks>
    <hyperlink ref="A8" location="'Page 1'!A1" display="'Page 1'!A1"/>
    <hyperlink ref="A12" location="'Page 2'!A1" display="'Page 2'!A1"/>
    <hyperlink ref="A13" location="'Page 2'!A1" display="'Page 2'!A1"/>
    <hyperlink ref="A14" location="'Page 7'!A1" display="'Page 7'!A1"/>
    <hyperlink ref="A15" location="'Page 7'!A1" display="'Page 7'!A1"/>
    <hyperlink ref="A17" location="'Page 7'!A1" display="'Page 7'!A1"/>
    <hyperlink ref="A18" location="'Page 7'!A1" display="'Page 7'!A1"/>
    <hyperlink ref="A19" location="'Page 7'!A1" display="'Page 7'!A1"/>
    <hyperlink ref="A20" location="'Page 7'!A1" display="'Page 7'!A1"/>
    <hyperlink ref="A21" location="'Page 7'!A1" display="'Page 7'!A1"/>
    <hyperlink ref="A22" location="'Page 7'!A1" display="'Page 7'!A1"/>
    <hyperlink ref="A23" location="'Page 7'!A1" display="'Page 7'!A1"/>
    <hyperlink ref="A24" location="'Page 7'!A1" display="'Page 7'!A1"/>
    <hyperlink ref="A27" location="'Page 7'!A1" display="'Page 7'!A1"/>
    <hyperlink ref="A28" location="'Page 7'!A1" display="'Page 7'!A1"/>
    <hyperlink ref="A30" location="'Page 7'!A1" display="'Page 7'!A1"/>
    <hyperlink ref="A31" location="'Page 7'!A1" display="'Page 7'!A1"/>
    <hyperlink ref="A32" location="'Page 7'!A1" display="'Page 7'!A1"/>
    <hyperlink ref="A37" location="'Page 8'!A1" display="'Page 8'!A1"/>
    <hyperlink ref="A40" location="'Page 9'!A1" display="'Page 9'!A1"/>
    <hyperlink ref="A42" location="'Page 9'!A1" display="'Page 9'!A1"/>
    <hyperlink ref="A43" location="'Page 10'!A1" display="'Page 10'!A1"/>
    <hyperlink ref="A45" location="'Page 10'!A1" display="'Page 10'!A1"/>
    <hyperlink ref="A46" location="'Page 10'!A1" display="'Page 10'!A1"/>
    <hyperlink ref="A47" location="'Page 10'!A1" display="'Page 10'!A1"/>
    <hyperlink ref="A29" location="'Page 7'!A1" display="'Page 7'!A1"/>
    <hyperlink ref="A16" location="'Page 7'!A1" display="'Page 7'!A1"/>
    <hyperlink ref="A36" location="'Page 8'!A1" display="'Page 8'!A1"/>
    <hyperlink ref="A39" location="'Page 8'!A1" display="'Page 8'!A1"/>
    <hyperlink ref="A2:B2" location="'Cover Page'!A1" display="General"/>
    <hyperlink ref="A7" location="'Cover Page'!A1" display="Cover"/>
    <hyperlink ref="A44" location="'Page 10'!A1" display="'Page 10'!A1"/>
    <hyperlink ref="A41" location="'Page 9'!A1" display="'Page 9'!A1"/>
    <hyperlink ref="A10" location="'Page 1'!A1" display="'Page 1'!A1"/>
    <hyperlink ref="A11" location="'Page 1'!A1" display="'Page 1'!A1"/>
    <hyperlink ref="A49" location="'Page 10'!A1" display="'Page 10'!A1"/>
    <hyperlink ref="A50" location="'Page 10'!A1" display="'Page 10'!A1"/>
    <hyperlink ref="A9" location="'Page 1'!A1" display="'Page 1'!A1"/>
    <hyperlink ref="A38" location="'Page 8'!A1" display="'Page 8'!A1"/>
    <hyperlink ref="A48" location="'Page 10'!A1" display="'Page 10'!A1"/>
    <hyperlink ref="A26" location="'Page 7'!A1" display="'Page 7'!A1"/>
    <hyperlink ref="A33" location="'Page 7'!A1" display="'Page 7'!A1"/>
    <hyperlink ref="A25" location="'Page 7'!A1" display="'Page 7'!A1"/>
    <hyperlink ref="A51" location="'Page 10'!A1" display="'Page 10'!A1"/>
    <hyperlink ref="A34" location="'Page 7'!A1" display="'Page 7'!A1"/>
    <hyperlink ref="A35" location="'Page 7'!A1" display="'Page 7'!A1"/>
  </hyperlinks>
  <printOptions/>
  <pageMargins left="0.7" right="0.7" top="0.75" bottom="0.75" header="0.3" footer="0.3"/>
  <pageSetup fitToHeight="0" fitToWidth="1" horizontalDpi="600" verticalDpi="600" orientation="landscape"/>
  <headerFooter alignWithMargins="0">
    <oddFooter>&amp;LRev. 8/18&amp;CFY 2018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showGridLines="0" workbookViewId="0" topLeftCell="A1">
      <selection activeCell="K31" sqref="K31"/>
    </sheetView>
  </sheetViews>
  <sheetFormatPr defaultColWidth="9.33203125" defaultRowHeight="12.75"/>
  <cols>
    <col min="1" max="1" width="3.33203125" style="3" customWidth="1"/>
    <col min="2" max="2" width="17.83203125" style="3" customWidth="1"/>
    <col min="3" max="3" width="33.33203125" style="3" customWidth="1"/>
    <col min="4" max="4" width="13.83203125" style="3" customWidth="1"/>
    <col min="5" max="5" width="5.16015625" style="3" customWidth="1"/>
    <col min="6" max="6" width="14.16015625" style="3" customWidth="1"/>
    <col min="7" max="7" width="7.66015625" style="3" customWidth="1"/>
    <col min="8" max="8" width="13.83203125" style="3" customWidth="1"/>
    <col min="9" max="11" width="9.33203125" style="3" customWidth="1"/>
    <col min="12" max="12" width="10.66015625" style="3" customWidth="1"/>
    <col min="13" max="13" width="11.33203125" style="3" customWidth="1"/>
    <col min="14" max="16384" width="9.33203125" style="3" customWidth="1"/>
  </cols>
  <sheetData>
    <row r="1" spans="1:14" ht="12">
      <c r="A1" s="566" t="s">
        <v>422</v>
      </c>
      <c r="B1" s="566"/>
      <c r="C1" s="11" t="str">
        <f>'Cover Page'!D1</f>
        <v>George Gervin Youth Center, Inc. </v>
      </c>
      <c r="F1" s="2"/>
      <c r="G1" s="4" t="s">
        <v>423</v>
      </c>
      <c r="H1" s="560" t="str">
        <f>'Cover Page'!M1</f>
        <v>Maricopa</v>
      </c>
      <c r="I1" s="560"/>
      <c r="J1" s="2"/>
      <c r="L1" s="4" t="s">
        <v>399</v>
      </c>
      <c r="M1" s="559" t="str">
        <f>'Cover Page'!R1</f>
        <v>078585000</v>
      </c>
      <c r="N1" s="560"/>
    </row>
    <row r="2" spans="6:9" ht="12">
      <c r="F2" s="9"/>
      <c r="G2" s="9"/>
      <c r="H2" s="2" t="s">
        <v>425</v>
      </c>
      <c r="I2" s="2"/>
    </row>
    <row r="3" spans="1:12" ht="12.75">
      <c r="A3" s="5" t="s">
        <v>490</v>
      </c>
      <c r="B3" s="5"/>
      <c r="D3" s="2"/>
      <c r="E3" s="2"/>
      <c r="F3" s="2"/>
      <c r="G3" s="2"/>
      <c r="L3" s="2"/>
    </row>
    <row r="4" spans="1:13" ht="12.75">
      <c r="A4" s="5" t="s">
        <v>427</v>
      </c>
      <c r="C4" s="2"/>
      <c r="D4" s="2"/>
      <c r="E4" s="2"/>
      <c r="F4" s="2"/>
      <c r="G4" s="2"/>
      <c r="H4" s="37" t="s">
        <v>426</v>
      </c>
      <c r="J4" s="39"/>
      <c r="K4" s="39"/>
      <c r="L4" s="39"/>
      <c r="M4" s="2"/>
    </row>
    <row r="5" spans="1:13" ht="12.75">
      <c r="A5" s="10" t="s">
        <v>428</v>
      </c>
      <c r="B5" s="568" t="s">
        <v>192</v>
      </c>
      <c r="C5" s="568"/>
      <c r="D5" s="568"/>
      <c r="E5" s="2"/>
      <c r="F5" s="2"/>
      <c r="G5" s="2"/>
      <c r="H5" s="17"/>
      <c r="I5" s="35" t="s">
        <v>428</v>
      </c>
      <c r="J5" s="39"/>
      <c r="K5" s="39"/>
      <c r="L5" s="39"/>
      <c r="M5" s="2"/>
    </row>
    <row r="6" spans="1:13" ht="12.75">
      <c r="A6" s="16" t="s">
        <v>429</v>
      </c>
      <c r="B6" s="568" t="s">
        <v>191</v>
      </c>
      <c r="C6" s="568"/>
      <c r="D6" s="568"/>
      <c r="E6" s="2"/>
      <c r="F6" s="2"/>
      <c r="G6" s="2"/>
      <c r="H6" s="17"/>
      <c r="I6" s="234" t="s">
        <v>429</v>
      </c>
      <c r="J6" s="39"/>
      <c r="K6" s="39"/>
      <c r="L6" s="39"/>
      <c r="M6" s="2"/>
    </row>
    <row r="7" spans="1:13" ht="12.75">
      <c r="A7" s="16" t="s">
        <v>430</v>
      </c>
      <c r="B7" s="562" t="s">
        <v>259</v>
      </c>
      <c r="C7" s="562"/>
      <c r="D7" s="562"/>
      <c r="E7" s="2"/>
      <c r="F7" s="2"/>
      <c r="G7" s="2"/>
      <c r="H7" s="17"/>
      <c r="I7" s="234" t="s">
        <v>430</v>
      </c>
      <c r="J7" s="38"/>
      <c r="K7" s="39"/>
      <c r="L7" s="39"/>
      <c r="M7" s="2"/>
    </row>
    <row r="8" spans="1:13" ht="12.75">
      <c r="A8" s="16" t="s">
        <v>431</v>
      </c>
      <c r="B8" s="562" t="s">
        <v>521</v>
      </c>
      <c r="C8" s="562"/>
      <c r="D8" s="562"/>
      <c r="E8" s="2"/>
      <c r="F8" s="2"/>
      <c r="G8" s="2"/>
      <c r="H8" s="17" t="s">
        <v>425</v>
      </c>
      <c r="I8" s="234" t="s">
        <v>431</v>
      </c>
      <c r="J8" s="39"/>
      <c r="K8" s="39"/>
      <c r="L8" s="39"/>
      <c r="M8" s="2"/>
    </row>
    <row r="9" spans="1:13" ht="12.75">
      <c r="A9" s="16" t="s">
        <v>432</v>
      </c>
      <c r="B9" s="562" t="s">
        <v>522</v>
      </c>
      <c r="C9" s="562"/>
      <c r="D9" s="2"/>
      <c r="E9" s="2"/>
      <c r="F9" s="2"/>
      <c r="G9" s="2"/>
      <c r="H9" s="17"/>
      <c r="I9" s="234" t="s">
        <v>432</v>
      </c>
      <c r="J9" s="40"/>
      <c r="K9" s="39"/>
      <c r="L9" s="39"/>
      <c r="M9" s="2"/>
    </row>
    <row r="10" spans="1:13" ht="12.75">
      <c r="A10" s="509" t="s">
        <v>433</v>
      </c>
      <c r="B10" s="562" t="s">
        <v>104</v>
      </c>
      <c r="C10" s="562"/>
      <c r="D10" s="2"/>
      <c r="E10" s="2"/>
      <c r="F10" s="2"/>
      <c r="G10" s="2"/>
      <c r="H10" s="67">
        <f>'[3]Food Service AFR'!E7</f>
        <v>1506</v>
      </c>
      <c r="I10" s="35" t="s">
        <v>433</v>
      </c>
      <c r="J10" s="40"/>
      <c r="K10" s="39"/>
      <c r="L10" s="39"/>
      <c r="M10" s="2"/>
    </row>
    <row r="11" spans="1:13" ht="12.75">
      <c r="A11" s="10" t="s">
        <v>434</v>
      </c>
      <c r="B11" s="562" t="s">
        <v>292</v>
      </c>
      <c r="C11" s="562"/>
      <c r="D11" s="2"/>
      <c r="E11" s="2"/>
      <c r="F11" s="2"/>
      <c r="G11" s="2"/>
      <c r="H11" s="17"/>
      <c r="I11" s="35" t="s">
        <v>434</v>
      </c>
      <c r="J11" s="39"/>
      <c r="K11" s="39"/>
      <c r="L11" s="39"/>
      <c r="M11" s="2"/>
    </row>
    <row r="12" spans="1:13" ht="12.75">
      <c r="A12" s="503" t="s">
        <v>436</v>
      </c>
      <c r="B12" s="562" t="s">
        <v>523</v>
      </c>
      <c r="C12" s="562"/>
      <c r="D12" s="561"/>
      <c r="E12" s="561"/>
      <c r="F12" s="561"/>
      <c r="G12" s="2"/>
      <c r="H12" s="17">
        <v>253202</v>
      </c>
      <c r="I12" s="502" t="s">
        <v>436</v>
      </c>
      <c r="J12" s="39"/>
      <c r="K12" s="39"/>
      <c r="L12" s="39"/>
      <c r="M12" s="2"/>
    </row>
    <row r="13" spans="1:13" ht="12.75">
      <c r="A13" s="65" t="s">
        <v>437</v>
      </c>
      <c r="B13" s="563" t="s">
        <v>134</v>
      </c>
      <c r="C13" s="563"/>
      <c r="D13" s="2"/>
      <c r="E13" s="2"/>
      <c r="F13" s="2"/>
      <c r="G13" s="2"/>
      <c r="H13" s="43">
        <f>SUM(H5:H12)</f>
        <v>254708</v>
      </c>
      <c r="I13" s="87" t="s">
        <v>437</v>
      </c>
      <c r="J13" s="39"/>
      <c r="K13" s="39"/>
      <c r="L13" s="39"/>
      <c r="M13" s="2"/>
    </row>
    <row r="14" spans="1:13" ht="12.75">
      <c r="A14" s="5" t="s">
        <v>435</v>
      </c>
      <c r="B14" s="5"/>
      <c r="D14" s="2"/>
      <c r="E14" s="2"/>
      <c r="F14" s="2"/>
      <c r="G14" s="2"/>
      <c r="H14" s="2"/>
      <c r="I14" s="35" t="s">
        <v>425</v>
      </c>
      <c r="J14" s="39"/>
      <c r="K14" s="39"/>
      <c r="L14" s="39"/>
      <c r="M14" s="2"/>
    </row>
    <row r="15" spans="1:13" ht="12.75">
      <c r="A15" s="65" t="s">
        <v>438</v>
      </c>
      <c r="B15" s="562" t="s">
        <v>357</v>
      </c>
      <c r="C15" s="562"/>
      <c r="D15" s="2"/>
      <c r="E15" s="2"/>
      <c r="F15" s="2"/>
      <c r="G15" s="2"/>
      <c r="H15" s="17"/>
      <c r="I15" s="87" t="s">
        <v>438</v>
      </c>
      <c r="J15" s="39"/>
      <c r="K15" s="39"/>
      <c r="L15" s="39"/>
      <c r="M15" s="2"/>
    </row>
    <row r="16" spans="1:13" ht="12.75">
      <c r="A16" s="65" t="s">
        <v>439</v>
      </c>
      <c r="B16" s="562" t="s">
        <v>358</v>
      </c>
      <c r="C16" s="562"/>
      <c r="D16" s="2"/>
      <c r="E16" s="2"/>
      <c r="F16" s="2"/>
      <c r="G16" s="2"/>
      <c r="H16" s="17"/>
      <c r="I16" s="87" t="s">
        <v>439</v>
      </c>
      <c r="J16" s="39"/>
      <c r="K16" s="39"/>
      <c r="L16" s="39"/>
      <c r="M16" s="2"/>
    </row>
    <row r="17" spans="1:13" ht="12.75">
      <c r="A17" s="65" t="s">
        <v>440</v>
      </c>
      <c r="B17" s="562" t="s">
        <v>363</v>
      </c>
      <c r="C17" s="562"/>
      <c r="D17" s="561"/>
      <c r="E17" s="561"/>
      <c r="F17" s="561"/>
      <c r="G17" s="2"/>
      <c r="H17" s="17"/>
      <c r="I17" s="87" t="s">
        <v>440</v>
      </c>
      <c r="J17" s="38"/>
      <c r="K17" s="38"/>
      <c r="L17" s="38"/>
      <c r="M17" s="12"/>
    </row>
    <row r="18" spans="1:13" ht="12.75">
      <c r="A18" s="65" t="s">
        <v>442</v>
      </c>
      <c r="B18" s="562" t="s">
        <v>135</v>
      </c>
      <c r="C18" s="562"/>
      <c r="D18" s="2"/>
      <c r="E18" s="2"/>
      <c r="F18" s="2"/>
      <c r="G18" s="2"/>
      <c r="H18" s="23">
        <f>SUM(H15:H17)</f>
        <v>0</v>
      </c>
      <c r="I18" s="87" t="s">
        <v>442</v>
      </c>
      <c r="J18" s="39"/>
      <c r="K18" s="39"/>
      <c r="L18" s="39"/>
      <c r="M18" s="2"/>
    </row>
    <row r="19" spans="1:13" ht="12.75">
      <c r="A19" s="5" t="s">
        <v>441</v>
      </c>
      <c r="B19" s="5"/>
      <c r="D19" s="2"/>
      <c r="E19" s="2"/>
      <c r="F19" s="2"/>
      <c r="G19" s="2"/>
      <c r="H19" s="2"/>
      <c r="I19" s="35"/>
      <c r="J19" s="39"/>
      <c r="K19" s="39"/>
      <c r="L19" s="39"/>
      <c r="M19" s="2"/>
    </row>
    <row r="20" spans="1:13" ht="12.75">
      <c r="A20" s="65" t="s">
        <v>443</v>
      </c>
      <c r="B20" s="562" t="s">
        <v>364</v>
      </c>
      <c r="C20" s="562"/>
      <c r="D20" s="2"/>
      <c r="E20" s="2"/>
      <c r="F20" s="2"/>
      <c r="G20" s="2"/>
      <c r="H20" s="17">
        <v>1342130</v>
      </c>
      <c r="I20" s="87" t="s">
        <v>443</v>
      </c>
      <c r="J20" s="39"/>
      <c r="K20" s="39"/>
      <c r="L20" s="39"/>
      <c r="M20" s="2"/>
    </row>
    <row r="21" spans="1:13" ht="12.75">
      <c r="A21" s="503" t="s">
        <v>444</v>
      </c>
      <c r="B21" s="562" t="s">
        <v>360</v>
      </c>
      <c r="C21" s="562"/>
      <c r="D21" s="2"/>
      <c r="E21" s="2"/>
      <c r="F21" s="2"/>
      <c r="G21" s="2"/>
      <c r="H21" s="17" t="s">
        <v>425</v>
      </c>
      <c r="I21" s="502" t="s">
        <v>444</v>
      </c>
      <c r="J21" s="39"/>
      <c r="K21" s="39"/>
      <c r="L21" s="39"/>
      <c r="M21" s="2"/>
    </row>
    <row r="22" spans="1:13" ht="12.75">
      <c r="A22" s="452" t="s">
        <v>445</v>
      </c>
      <c r="B22" s="564" t="s">
        <v>361</v>
      </c>
      <c r="C22" s="564"/>
      <c r="D22" s="2"/>
      <c r="E22" s="2"/>
      <c r="F22" s="2"/>
      <c r="G22" s="2"/>
      <c r="H22" s="17">
        <v>288886</v>
      </c>
      <c r="I22" s="502" t="s">
        <v>445</v>
      </c>
      <c r="J22" s="38"/>
      <c r="K22" s="38"/>
      <c r="L22" s="38"/>
      <c r="M22" s="12"/>
    </row>
    <row r="23" spans="1:13" ht="12.75">
      <c r="A23" s="503" t="s">
        <v>446</v>
      </c>
      <c r="B23" s="564" t="s">
        <v>359</v>
      </c>
      <c r="C23" s="564"/>
      <c r="D23" s="228"/>
      <c r="E23" s="228"/>
      <c r="F23" s="228"/>
      <c r="G23" s="228"/>
      <c r="H23" s="67" t="s">
        <v>425</v>
      </c>
      <c r="I23" s="502" t="s">
        <v>446</v>
      </c>
      <c r="J23" s="39"/>
      <c r="K23" s="39"/>
      <c r="L23" s="39"/>
      <c r="M23" s="2"/>
    </row>
    <row r="24" spans="1:13" ht="12.75">
      <c r="A24" s="503" t="s">
        <v>448</v>
      </c>
      <c r="B24" s="564" t="s">
        <v>365</v>
      </c>
      <c r="C24" s="564"/>
      <c r="D24" s="567"/>
      <c r="E24" s="567"/>
      <c r="F24" s="567"/>
      <c r="G24" s="228"/>
      <c r="H24" s="67"/>
      <c r="I24" s="502" t="s">
        <v>448</v>
      </c>
      <c r="J24" s="39"/>
      <c r="K24" s="39"/>
      <c r="L24" s="39"/>
      <c r="M24" s="2"/>
    </row>
    <row r="25" spans="1:13" ht="12">
      <c r="A25" s="503" t="s">
        <v>449</v>
      </c>
      <c r="B25" s="564" t="s">
        <v>136</v>
      </c>
      <c r="C25" s="564"/>
      <c r="D25" s="228"/>
      <c r="E25" s="228"/>
      <c r="F25" s="228"/>
      <c r="G25" s="228"/>
      <c r="H25" s="95">
        <f>SUM(H20:H24)</f>
        <v>1631016</v>
      </c>
      <c r="I25" s="502" t="s">
        <v>449</v>
      </c>
      <c r="J25" s="39"/>
      <c r="K25" s="39"/>
      <c r="L25" s="39"/>
      <c r="M25" s="2"/>
    </row>
    <row r="26" spans="1:13" ht="12">
      <c r="A26" s="235" t="s">
        <v>447</v>
      </c>
      <c r="B26" s="229"/>
      <c r="C26" s="47"/>
      <c r="D26" s="228"/>
      <c r="E26" s="228"/>
      <c r="F26" s="228"/>
      <c r="G26" s="228"/>
      <c r="H26" s="228"/>
      <c r="I26" s="35"/>
      <c r="J26" s="39"/>
      <c r="K26" s="39"/>
      <c r="L26" s="39"/>
      <c r="M26" s="2"/>
    </row>
    <row r="27" spans="1:13" ht="12">
      <c r="A27" s="452" t="s">
        <v>450</v>
      </c>
      <c r="B27" s="564" t="s">
        <v>362</v>
      </c>
      <c r="C27" s="564"/>
      <c r="D27" s="564"/>
      <c r="E27" s="564"/>
      <c r="F27" s="564"/>
      <c r="G27" s="228"/>
      <c r="H27" s="67"/>
      <c r="I27" s="260" t="s">
        <v>450</v>
      </c>
      <c r="J27" s="39"/>
      <c r="K27" s="39"/>
      <c r="L27" s="39"/>
      <c r="M27" s="2"/>
    </row>
    <row r="28" spans="1:13" ht="12">
      <c r="A28" s="256" t="s">
        <v>451</v>
      </c>
      <c r="B28" s="564" t="s">
        <v>256</v>
      </c>
      <c r="C28" s="564"/>
      <c r="D28" s="564"/>
      <c r="E28" s="564"/>
      <c r="F28" s="564"/>
      <c r="G28" s="228"/>
      <c r="H28" s="67">
        <v>104640</v>
      </c>
      <c r="I28" s="260" t="s">
        <v>451</v>
      </c>
      <c r="J28" s="38"/>
      <c r="K28" s="38"/>
      <c r="L28" s="39"/>
      <c r="M28" s="2"/>
    </row>
    <row r="29" spans="1:13" ht="12">
      <c r="A29" s="65" t="s">
        <v>452</v>
      </c>
      <c r="B29" s="564" t="s">
        <v>219</v>
      </c>
      <c r="C29" s="564"/>
      <c r="D29" s="564"/>
      <c r="E29" s="564"/>
      <c r="F29" s="564"/>
      <c r="G29" s="565"/>
      <c r="H29" s="67">
        <v>309277</v>
      </c>
      <c r="I29" s="87" t="s">
        <v>452</v>
      </c>
      <c r="J29" s="38"/>
      <c r="K29" s="38"/>
      <c r="L29" s="39"/>
      <c r="M29" s="2"/>
    </row>
    <row r="30" spans="1:13" ht="12">
      <c r="A30" s="65" t="s">
        <v>453</v>
      </c>
      <c r="B30" s="269" t="s">
        <v>293</v>
      </c>
      <c r="C30" s="228"/>
      <c r="D30" s="228"/>
      <c r="E30" s="228"/>
      <c r="F30" s="228"/>
      <c r="G30" s="228"/>
      <c r="H30" s="67"/>
      <c r="I30" s="87" t="s">
        <v>453</v>
      </c>
      <c r="J30" s="39"/>
      <c r="K30" s="39"/>
      <c r="L30" s="39"/>
      <c r="M30" s="2"/>
    </row>
    <row r="31" spans="1:13" ht="12">
      <c r="A31" s="65" t="s">
        <v>454</v>
      </c>
      <c r="B31" s="564" t="s">
        <v>366</v>
      </c>
      <c r="C31" s="564"/>
      <c r="D31" s="564"/>
      <c r="E31" s="564"/>
      <c r="F31" s="564"/>
      <c r="G31" s="565"/>
      <c r="H31" s="67"/>
      <c r="I31" s="87" t="s">
        <v>454</v>
      </c>
      <c r="J31" s="39"/>
      <c r="K31" s="39"/>
      <c r="L31" s="39"/>
      <c r="M31" s="2"/>
    </row>
    <row r="32" spans="1:13" ht="12">
      <c r="A32" s="65" t="s">
        <v>499</v>
      </c>
      <c r="B32" s="562" t="s">
        <v>367</v>
      </c>
      <c r="C32" s="562"/>
      <c r="D32" s="561"/>
      <c r="E32" s="561"/>
      <c r="F32" s="561"/>
      <c r="G32" s="2"/>
      <c r="H32" s="17"/>
      <c r="I32" s="87" t="s">
        <v>499</v>
      </c>
      <c r="J32" s="39"/>
      <c r="K32" s="39"/>
      <c r="L32" s="39"/>
      <c r="M32" s="2"/>
    </row>
    <row r="33" spans="1:13" ht="12">
      <c r="A33" s="65" t="s">
        <v>500</v>
      </c>
      <c r="B33" s="562" t="s">
        <v>137</v>
      </c>
      <c r="C33" s="562"/>
      <c r="D33" s="2"/>
      <c r="E33" s="2"/>
      <c r="F33" s="2"/>
      <c r="G33" s="2"/>
      <c r="H33" s="23">
        <f>SUM(H27:H32)</f>
        <v>413917</v>
      </c>
      <c r="I33" s="87" t="s">
        <v>500</v>
      </c>
      <c r="J33" s="39"/>
      <c r="K33" s="39"/>
      <c r="L33" s="39"/>
      <c r="M33" s="2"/>
    </row>
    <row r="34" spans="1:13" ht="12">
      <c r="A34" s="16"/>
      <c r="B34" s="5"/>
      <c r="C34" s="2"/>
      <c r="D34" s="2"/>
      <c r="E34" s="2"/>
      <c r="F34" s="2"/>
      <c r="G34" s="2"/>
      <c r="H34" s="42"/>
      <c r="I34" s="35"/>
      <c r="J34" s="39"/>
      <c r="K34" s="39"/>
      <c r="L34" s="39"/>
      <c r="M34" s="2"/>
    </row>
    <row r="35" spans="1:13" ht="12">
      <c r="A35" s="65" t="s">
        <v>501</v>
      </c>
      <c r="B35" s="563" t="s">
        <v>133</v>
      </c>
      <c r="C35" s="563"/>
      <c r="D35" s="563"/>
      <c r="E35" s="2"/>
      <c r="F35" s="2"/>
      <c r="G35" s="2"/>
      <c r="H35" s="23">
        <f>SUM(H13,H18,H25,H33)</f>
        <v>2299641</v>
      </c>
      <c r="I35" s="87" t="s">
        <v>501</v>
      </c>
      <c r="J35" s="39"/>
      <c r="K35" s="39"/>
      <c r="L35" s="39"/>
      <c r="M35" s="2"/>
    </row>
    <row r="36" spans="9:12" ht="12">
      <c r="I36" s="41"/>
      <c r="J36" s="39"/>
      <c r="K36" s="39"/>
      <c r="L36" s="39"/>
    </row>
    <row r="37" spans="9:12" ht="12">
      <c r="I37" s="41"/>
      <c r="J37" s="39"/>
      <c r="K37" s="39"/>
      <c r="L37" s="39"/>
    </row>
    <row r="38" spans="9:12" ht="12">
      <c r="I38" s="41"/>
      <c r="J38" s="39"/>
      <c r="K38" s="39"/>
      <c r="L38" s="39"/>
    </row>
    <row r="39" spans="9:12" ht="12">
      <c r="I39" s="41"/>
      <c r="J39" s="39"/>
      <c r="K39" s="39"/>
      <c r="L39" s="39"/>
    </row>
    <row r="40" spans="9:12" ht="12">
      <c r="I40" s="41"/>
      <c r="J40" s="39"/>
      <c r="K40" s="39"/>
      <c r="L40" s="39"/>
    </row>
    <row r="41" spans="9:12" ht="12">
      <c r="I41" s="41"/>
      <c r="J41" s="39"/>
      <c r="K41" s="39"/>
      <c r="L41" s="39"/>
    </row>
    <row r="42" spans="9:12" ht="12">
      <c r="I42" s="41"/>
      <c r="J42" s="39"/>
      <c r="K42" s="39"/>
      <c r="L42" s="39"/>
    </row>
    <row r="43" spans="9:12" ht="12">
      <c r="I43" s="41"/>
      <c r="J43" s="39"/>
      <c r="K43" s="39"/>
      <c r="L43" s="39"/>
    </row>
    <row r="44" spans="9:12" ht="12">
      <c r="I44" s="41"/>
      <c r="J44" s="39"/>
      <c r="K44" s="39"/>
      <c r="L44" s="39"/>
    </row>
    <row r="45" spans="9:12" ht="12">
      <c r="I45" s="41"/>
      <c r="J45" s="39"/>
      <c r="K45" s="39"/>
      <c r="L45" s="39"/>
    </row>
  </sheetData>
  <sheetProtection sheet="1" formatCells="0" formatColumns="0" formatRows="0"/>
  <mergeCells count="33">
    <mergeCell ref="B5:D5"/>
    <mergeCell ref="B6:D6"/>
    <mergeCell ref="B11:C11"/>
    <mergeCell ref="B25:C25"/>
    <mergeCell ref="B27:F27"/>
    <mergeCell ref="B15:C15"/>
    <mergeCell ref="B24:C24"/>
    <mergeCell ref="B28:F28"/>
    <mergeCell ref="B23:C23"/>
    <mergeCell ref="A1:B1"/>
    <mergeCell ref="B17:C17"/>
    <mergeCell ref="D24:F24"/>
    <mergeCell ref="B18:C18"/>
    <mergeCell ref="B20:C20"/>
    <mergeCell ref="B12:C12"/>
    <mergeCell ref="B13:C13"/>
    <mergeCell ref="B22:C22"/>
    <mergeCell ref="B35:D35"/>
    <mergeCell ref="B29:G29"/>
    <mergeCell ref="B31:G31"/>
    <mergeCell ref="B32:C32"/>
    <mergeCell ref="B33:C33"/>
    <mergeCell ref="D32:F32"/>
    <mergeCell ref="M1:N1"/>
    <mergeCell ref="D12:F12"/>
    <mergeCell ref="B7:D7"/>
    <mergeCell ref="D17:F17"/>
    <mergeCell ref="B16:C16"/>
    <mergeCell ref="B21:C21"/>
    <mergeCell ref="H1:I1"/>
    <mergeCell ref="B8:D8"/>
    <mergeCell ref="B9:C9"/>
    <mergeCell ref="B10:C10"/>
  </mergeCells>
  <hyperlinks>
    <hyperlink ref="A22" location="Restricted3200" display="16."/>
    <hyperlink ref="A27" location="Unrestricted_Restricted_4100_4300" display="20."/>
    <hyperlink ref="A10" location="Food_Service_1600" display="6."/>
  </hyperlinks>
  <printOptions horizontalCentered="1"/>
  <pageMargins left="1" right="0.25" top="0.5" bottom="0.25" header="0.5" footer="0.15"/>
  <pageSetup fitToHeight="1" fitToWidth="1" horizontalDpi="300" verticalDpi="300" orientation="landscape" paperSize="5"/>
  <headerFooter alignWithMargins="0">
    <oddFooter>&amp;LRev. 8/18&amp;CFY 2018&amp;RPage 1 of 10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showGridLines="0" workbookViewId="0" topLeftCell="A1">
      <selection activeCell="S43" sqref="S43"/>
    </sheetView>
  </sheetViews>
  <sheetFormatPr defaultColWidth="9.33203125" defaultRowHeight="12.75" customHeight="1"/>
  <cols>
    <col min="1" max="1" width="20.83203125" style="3" customWidth="1"/>
    <col min="2" max="2" width="32.33203125" style="3" customWidth="1"/>
    <col min="3" max="3" width="3.83203125" style="3" customWidth="1"/>
    <col min="4" max="5" width="12.83203125" style="3" customWidth="1"/>
    <col min="6" max="6" width="14.83203125" style="3" customWidth="1"/>
    <col min="7" max="12" width="12.83203125" style="3" customWidth="1"/>
    <col min="13" max="13" width="3.16015625" style="3" customWidth="1"/>
    <col min="14" max="16384" width="9.33203125" style="3" customWidth="1"/>
  </cols>
  <sheetData>
    <row r="1" spans="1:12" ht="12" customHeight="1">
      <c r="A1" s="1" t="s">
        <v>422</v>
      </c>
      <c r="B1" s="560" t="str">
        <f>'Cover Page'!D1</f>
        <v>George Gervin Youth Center, Inc. </v>
      </c>
      <c r="C1" s="560"/>
      <c r="D1" s="2"/>
      <c r="F1" s="4" t="s">
        <v>423</v>
      </c>
      <c r="G1" s="11" t="str">
        <f>'Cover Page'!M1</f>
        <v>Maricopa</v>
      </c>
      <c r="J1" s="4"/>
      <c r="K1" s="4" t="s">
        <v>399</v>
      </c>
      <c r="L1" s="244" t="str">
        <f>'Cover Page'!R1</f>
        <v>078585000</v>
      </c>
    </row>
    <row r="2" spans="5:12" ht="3.75" customHeight="1">
      <c r="E2" s="2"/>
      <c r="F2" s="2"/>
      <c r="L2" s="9"/>
    </row>
    <row r="3" spans="1:12" ht="15.75" customHeight="1">
      <c r="A3" s="78"/>
      <c r="B3" s="79"/>
      <c r="C3" s="80"/>
      <c r="D3" s="78"/>
      <c r="E3" s="220" t="s">
        <v>257</v>
      </c>
      <c r="F3" s="29" t="s">
        <v>344</v>
      </c>
      <c r="G3" s="221"/>
      <c r="H3" s="222"/>
      <c r="I3" s="578" t="s">
        <v>404</v>
      </c>
      <c r="J3" s="578"/>
      <c r="K3" s="578"/>
      <c r="L3" s="575" t="s">
        <v>301</v>
      </c>
    </row>
    <row r="4" spans="1:12" ht="12" customHeight="1">
      <c r="A4" s="449" t="s">
        <v>374</v>
      </c>
      <c r="B4" s="2"/>
      <c r="C4" s="75"/>
      <c r="D4" s="223" t="s">
        <v>405</v>
      </c>
      <c r="E4" s="224" t="s">
        <v>406</v>
      </c>
      <c r="F4" s="225" t="s">
        <v>335</v>
      </c>
      <c r="G4" s="226" t="s">
        <v>420</v>
      </c>
      <c r="H4" s="223" t="s">
        <v>346</v>
      </c>
      <c r="I4" s="78"/>
      <c r="J4" s="78"/>
      <c r="K4" s="29" t="s">
        <v>217</v>
      </c>
      <c r="L4" s="576"/>
    </row>
    <row r="5" spans="1:12" ht="11.25" customHeight="1">
      <c r="A5" s="82" t="s">
        <v>384</v>
      </c>
      <c r="B5" s="8"/>
      <c r="C5" s="83"/>
      <c r="D5" s="218">
        <v>6100</v>
      </c>
      <c r="E5" s="32">
        <v>6200</v>
      </c>
      <c r="F5" s="32" t="s">
        <v>456</v>
      </c>
      <c r="G5" s="219">
        <v>6600</v>
      </c>
      <c r="H5" s="218">
        <v>6800</v>
      </c>
      <c r="I5" s="330" t="s">
        <v>308</v>
      </c>
      <c r="J5" s="223" t="s">
        <v>309</v>
      </c>
      <c r="K5" s="225" t="s">
        <v>309</v>
      </c>
      <c r="L5" s="577"/>
    </row>
    <row r="6" spans="1:12" ht="12" customHeight="1">
      <c r="A6" s="84" t="s">
        <v>458</v>
      </c>
      <c r="B6" s="79"/>
      <c r="C6" s="80"/>
      <c r="D6" s="348"/>
      <c r="E6" s="348"/>
      <c r="F6" s="348"/>
      <c r="G6" s="348"/>
      <c r="H6" s="348"/>
      <c r="I6" s="571">
        <f>[2]!SP1000P100F1000</f>
        <v>867040</v>
      </c>
      <c r="J6" s="569">
        <f>SUM(D7:H7)</f>
        <v>734581</v>
      </c>
      <c r="K6" s="569">
        <f>[1]!SP1000P100F1000</f>
        <v>657072</v>
      </c>
      <c r="L6" s="581">
        <f>IF(J6=K6,0,IF(K6&gt;0,(J6-K6)/K6,"--"))</f>
        <v>0.118</v>
      </c>
    </row>
    <row r="7" spans="1:13" ht="12" customHeight="1">
      <c r="A7" s="85" t="s">
        <v>459</v>
      </c>
      <c r="B7" s="2"/>
      <c r="C7" s="86" t="s">
        <v>428</v>
      </c>
      <c r="D7" s="506">
        <f>725661-70423-8350-137780</f>
        <v>509108</v>
      </c>
      <c r="E7" s="347">
        <f>179131-30980-17342</f>
        <v>130809</v>
      </c>
      <c r="F7" s="347">
        <f>78060-4714-5603-49-16383</f>
        <v>51311</v>
      </c>
      <c r="G7" s="347">
        <v>23452</v>
      </c>
      <c r="H7" s="351">
        <f>11921+7980</f>
        <v>19901</v>
      </c>
      <c r="I7" s="572"/>
      <c r="J7" s="570"/>
      <c r="K7" s="570"/>
      <c r="L7" s="582"/>
      <c r="M7" s="87" t="s">
        <v>428</v>
      </c>
    </row>
    <row r="8" spans="1:13" ht="12" customHeight="1">
      <c r="A8" s="85" t="s">
        <v>297</v>
      </c>
      <c r="B8" s="2"/>
      <c r="C8" s="75"/>
      <c r="D8" s="348"/>
      <c r="E8" s="348"/>
      <c r="F8" s="348"/>
      <c r="G8" s="349"/>
      <c r="H8" s="348"/>
      <c r="I8" s="573">
        <f>[2]!SP1000P100F2100</f>
        <v>35822</v>
      </c>
      <c r="J8" s="569">
        <f>SUM(D9:H9)</f>
        <v>116732</v>
      </c>
      <c r="K8" s="583">
        <f>[1]!SP1000P100F2100</f>
        <v>59423</v>
      </c>
      <c r="L8" s="579">
        <f>IF(J8=K8,0,IF(K8&gt;0,(J8-K8)/K8,"--"))</f>
        <v>0.9644</v>
      </c>
      <c r="M8" s="35"/>
    </row>
    <row r="9" spans="1:13" ht="12" customHeight="1">
      <c r="A9" s="85" t="s">
        <v>275</v>
      </c>
      <c r="B9" s="2"/>
      <c r="C9" s="86" t="s">
        <v>429</v>
      </c>
      <c r="D9" s="347">
        <v>48375</v>
      </c>
      <c r="E9" s="347">
        <v>13166</v>
      </c>
      <c r="F9" s="347">
        <v>55191</v>
      </c>
      <c r="G9" s="350"/>
      <c r="H9" s="347"/>
      <c r="I9" s="574"/>
      <c r="J9" s="570"/>
      <c r="K9" s="584"/>
      <c r="L9" s="580"/>
      <c r="M9" s="87" t="s">
        <v>429</v>
      </c>
    </row>
    <row r="10" spans="1:13" ht="12" customHeight="1">
      <c r="A10" s="85" t="s">
        <v>276</v>
      </c>
      <c r="B10" s="2"/>
      <c r="C10" s="86" t="s">
        <v>430</v>
      </c>
      <c r="D10" s="76">
        <v>29997</v>
      </c>
      <c r="E10" s="17">
        <v>5962</v>
      </c>
      <c r="F10" s="76">
        <v>83690</v>
      </c>
      <c r="G10" s="17"/>
      <c r="H10" s="347"/>
      <c r="I10" s="77">
        <f>[2]!SP1000P100F2200</f>
        <v>0</v>
      </c>
      <c r="J10" s="77">
        <f aca="true" t="shared" si="0" ref="J10:J21">SUM(D10:H10)</f>
        <v>119649</v>
      </c>
      <c r="K10" s="77">
        <f>[1]!SP1000P100F2200</f>
        <v>78246</v>
      </c>
      <c r="L10" s="279">
        <f aca="true" t="shared" si="1" ref="L10:L16">IF(J10=K10,0,IF(K10&gt;0,(J10-K10)/K10,"--"))</f>
        <v>0.5291</v>
      </c>
      <c r="M10" s="87" t="s">
        <v>430</v>
      </c>
    </row>
    <row r="11" spans="1:13" ht="12" customHeight="1">
      <c r="A11" s="85" t="s">
        <v>460</v>
      </c>
      <c r="B11" s="2"/>
      <c r="C11" s="86" t="s">
        <v>431</v>
      </c>
      <c r="D11" s="76"/>
      <c r="E11" s="17"/>
      <c r="F11" s="76">
        <v>48974</v>
      </c>
      <c r="G11" s="17"/>
      <c r="H11" s="76">
        <v>984</v>
      </c>
      <c r="I11" s="77">
        <f>[2]!SP1000P100F2300</f>
        <v>19200</v>
      </c>
      <c r="J11" s="77">
        <f t="shared" si="0"/>
        <v>49958</v>
      </c>
      <c r="K11" s="77">
        <f>[1]!SP1000P100F2300</f>
        <v>35563</v>
      </c>
      <c r="L11" s="279">
        <f t="shared" si="1"/>
        <v>0.4048</v>
      </c>
      <c r="M11" s="87" t="s">
        <v>431</v>
      </c>
    </row>
    <row r="12" spans="1:13" ht="12" customHeight="1">
      <c r="A12" s="85" t="s">
        <v>461</v>
      </c>
      <c r="B12" s="2"/>
      <c r="C12" s="86" t="s">
        <v>432</v>
      </c>
      <c r="D12" s="76">
        <v>153477</v>
      </c>
      <c r="E12" s="17">
        <v>42684</v>
      </c>
      <c r="F12" s="76">
        <v>76682</v>
      </c>
      <c r="G12" s="17">
        <v>15577</v>
      </c>
      <c r="H12" s="76">
        <v>8610</v>
      </c>
      <c r="I12" s="77">
        <f>[2]!SP1000P100F2400</f>
        <v>264512</v>
      </c>
      <c r="J12" s="77">
        <f t="shared" si="0"/>
        <v>297030</v>
      </c>
      <c r="K12" s="77">
        <f>[1]!SP1000P100F2400</f>
        <v>313169</v>
      </c>
      <c r="L12" s="279">
        <f t="shared" si="1"/>
        <v>-0.0515</v>
      </c>
      <c r="M12" s="87" t="s">
        <v>432</v>
      </c>
    </row>
    <row r="13" spans="1:13" ht="12" customHeight="1">
      <c r="A13" s="85" t="s">
        <v>277</v>
      </c>
      <c r="B13" s="2"/>
      <c r="C13" s="86" t="s">
        <v>433</v>
      </c>
      <c r="D13" s="76"/>
      <c r="E13" s="17"/>
      <c r="F13" s="76">
        <f>49057-6656</f>
        <v>42401</v>
      </c>
      <c r="G13" s="17"/>
      <c r="H13" s="76">
        <v>7905</v>
      </c>
      <c r="I13" s="77">
        <f>[2]!SP1000P100F2500</f>
        <v>21870</v>
      </c>
      <c r="J13" s="77">
        <f t="shared" si="0"/>
        <v>50306</v>
      </c>
      <c r="K13" s="77">
        <f>[1]!SP1000P100F2500</f>
        <v>30891</v>
      </c>
      <c r="L13" s="279">
        <f t="shared" si="1"/>
        <v>0.6285</v>
      </c>
      <c r="M13" s="87" t="s">
        <v>433</v>
      </c>
    </row>
    <row r="14" spans="1:13" ht="12" customHeight="1">
      <c r="A14" s="85" t="s">
        <v>236</v>
      </c>
      <c r="B14" s="2"/>
      <c r="C14" s="86" t="s">
        <v>434</v>
      </c>
      <c r="D14" s="76"/>
      <c r="E14" s="17"/>
      <c r="F14" s="76">
        <f>188981-8280+12681.85</f>
        <v>193383</v>
      </c>
      <c r="G14" s="17">
        <v>55879</v>
      </c>
      <c r="H14" s="76"/>
      <c r="I14" s="77">
        <f>[2]!SP1000P100F2600</f>
        <v>176330</v>
      </c>
      <c r="J14" s="77">
        <f t="shared" si="0"/>
        <v>249262</v>
      </c>
      <c r="K14" s="77">
        <f>[1]!SP1000P100F2600</f>
        <v>241236</v>
      </c>
      <c r="L14" s="279">
        <f t="shared" si="1"/>
        <v>0.0333</v>
      </c>
      <c r="M14" s="87" t="s">
        <v>434</v>
      </c>
    </row>
    <row r="15" spans="1:13" ht="12" customHeight="1">
      <c r="A15" s="85" t="s">
        <v>385</v>
      </c>
      <c r="B15" s="2"/>
      <c r="C15" s="86" t="s">
        <v>436</v>
      </c>
      <c r="D15" s="76"/>
      <c r="E15" s="17"/>
      <c r="F15" s="76"/>
      <c r="G15" s="17"/>
      <c r="H15" s="76"/>
      <c r="I15" s="77">
        <f>[2]!SP1000P100F2900</f>
        <v>131480</v>
      </c>
      <c r="J15" s="77">
        <f t="shared" si="0"/>
        <v>0</v>
      </c>
      <c r="K15" s="77">
        <f>[1]!SP1000P100F2900</f>
        <v>0</v>
      </c>
      <c r="L15" s="279">
        <f t="shared" si="1"/>
        <v>0</v>
      </c>
      <c r="M15" s="87" t="s">
        <v>436</v>
      </c>
    </row>
    <row r="16" spans="1:13" ht="12" customHeight="1">
      <c r="A16" s="85" t="s">
        <v>462</v>
      </c>
      <c r="B16" s="2"/>
      <c r="C16" s="86" t="s">
        <v>437</v>
      </c>
      <c r="D16" s="76">
        <v>7421</v>
      </c>
      <c r="E16" s="17">
        <v>2544</v>
      </c>
      <c r="F16" s="76">
        <v>133131</v>
      </c>
      <c r="G16" s="17"/>
      <c r="H16" s="76">
        <v>598</v>
      </c>
      <c r="I16" s="77">
        <f>[2]!SP1000P100F3000</f>
        <v>175352</v>
      </c>
      <c r="J16" s="77">
        <f t="shared" si="0"/>
        <v>143694</v>
      </c>
      <c r="K16" s="77">
        <f>[1]!SP1000P100F3000</f>
        <v>168713</v>
      </c>
      <c r="L16" s="279">
        <f t="shared" si="1"/>
        <v>-0.1483</v>
      </c>
      <c r="M16" s="87" t="s">
        <v>437</v>
      </c>
    </row>
    <row r="17" spans="1:13" ht="12" customHeight="1">
      <c r="A17" s="85" t="s">
        <v>237</v>
      </c>
      <c r="B17" s="2"/>
      <c r="C17" s="86" t="s">
        <v>438</v>
      </c>
      <c r="D17" s="76"/>
      <c r="E17" s="17"/>
      <c r="F17" s="76"/>
      <c r="G17" s="17"/>
      <c r="H17" s="76"/>
      <c r="I17" s="77">
        <f>[2]!SP1000P100F4000</f>
        <v>0</v>
      </c>
      <c r="J17" s="77">
        <f t="shared" si="0"/>
        <v>0</v>
      </c>
      <c r="K17" s="77">
        <f>[1]!SP1000P100F4000</f>
        <v>0</v>
      </c>
      <c r="L17" s="279">
        <f aca="true" t="shared" si="2" ref="L17:L22">IF(J17=K17,0,IF(K17&gt;0,(J17-K17)/K17,"--"))</f>
        <v>0</v>
      </c>
      <c r="M17" s="87" t="s">
        <v>438</v>
      </c>
    </row>
    <row r="18" spans="1:13" ht="12" customHeight="1">
      <c r="A18" s="85" t="s">
        <v>463</v>
      </c>
      <c r="B18" s="2"/>
      <c r="C18" s="86" t="s">
        <v>439</v>
      </c>
      <c r="D18" s="88"/>
      <c r="E18" s="17"/>
      <c r="F18" s="76"/>
      <c r="G18" s="17"/>
      <c r="H18" s="76"/>
      <c r="I18" s="77">
        <f>[2]!SP1000P100F5000</f>
        <v>0</v>
      </c>
      <c r="J18" s="77">
        <f t="shared" si="0"/>
        <v>0</v>
      </c>
      <c r="K18" s="77">
        <f>[1]!SP1000P100F5000</f>
        <v>0</v>
      </c>
      <c r="L18" s="279">
        <f t="shared" si="2"/>
        <v>0</v>
      </c>
      <c r="M18" s="87" t="s">
        <v>439</v>
      </c>
    </row>
    <row r="19" spans="1:13" ht="12" customHeight="1">
      <c r="A19" s="85" t="s">
        <v>391</v>
      </c>
      <c r="B19" s="2"/>
      <c r="C19" s="86" t="s">
        <v>440</v>
      </c>
      <c r="D19" s="88"/>
      <c r="E19" s="17"/>
      <c r="F19" s="76"/>
      <c r="G19" s="17"/>
      <c r="H19" s="76"/>
      <c r="I19" s="77">
        <f>[2]!SP1000P610</f>
        <v>0</v>
      </c>
      <c r="J19" s="77">
        <f t="shared" si="0"/>
        <v>0</v>
      </c>
      <c r="K19" s="77">
        <f>[1]!SP1000P610</f>
        <v>0</v>
      </c>
      <c r="L19" s="279">
        <f t="shared" si="2"/>
        <v>0</v>
      </c>
      <c r="M19" s="87" t="s">
        <v>440</v>
      </c>
    </row>
    <row r="20" spans="1:13" ht="12" customHeight="1">
      <c r="A20" s="85" t="s">
        <v>392</v>
      </c>
      <c r="B20" s="2"/>
      <c r="C20" s="86" t="s">
        <v>442</v>
      </c>
      <c r="D20" s="88"/>
      <c r="E20" s="17"/>
      <c r="F20" s="76"/>
      <c r="G20" s="17"/>
      <c r="H20" s="76"/>
      <c r="I20" s="77">
        <f>[2]!SP1000P620</f>
        <v>0</v>
      </c>
      <c r="J20" s="77">
        <f t="shared" si="0"/>
        <v>0</v>
      </c>
      <c r="K20" s="77">
        <f>[1]!SP1000P620</f>
        <v>0</v>
      </c>
      <c r="L20" s="279">
        <f t="shared" si="2"/>
        <v>0</v>
      </c>
      <c r="M20" s="87" t="s">
        <v>442</v>
      </c>
    </row>
    <row r="21" spans="1:13" ht="12" customHeight="1">
      <c r="A21" s="85" t="s">
        <v>393</v>
      </c>
      <c r="B21" s="2"/>
      <c r="C21" s="86" t="s">
        <v>443</v>
      </c>
      <c r="D21" s="88"/>
      <c r="E21" s="17"/>
      <c r="F21" s="76"/>
      <c r="G21" s="17"/>
      <c r="H21" s="76"/>
      <c r="I21" s="77">
        <f>[2]!SP1000P630700800900</f>
        <v>0</v>
      </c>
      <c r="J21" s="77">
        <f t="shared" si="0"/>
        <v>0</v>
      </c>
      <c r="K21" s="77">
        <f>[1]!SP1000P630700800900</f>
        <v>0</v>
      </c>
      <c r="L21" s="279">
        <f t="shared" si="2"/>
        <v>0</v>
      </c>
      <c r="M21" s="87" t="s">
        <v>443</v>
      </c>
    </row>
    <row r="22" spans="1:13" ht="12" customHeight="1">
      <c r="A22" s="89" t="s">
        <v>270</v>
      </c>
      <c r="B22" s="8"/>
      <c r="C22" s="90" t="s">
        <v>444</v>
      </c>
      <c r="D22" s="23">
        <f>SUM(D6:D21)</f>
        <v>748378</v>
      </c>
      <c r="E22" s="23">
        <f aca="true" t="shared" si="3" ref="E22:K22">SUM(E6:E21)</f>
        <v>195165</v>
      </c>
      <c r="F22" s="23">
        <f t="shared" si="3"/>
        <v>684763</v>
      </c>
      <c r="G22" s="23">
        <f t="shared" si="3"/>
        <v>94908</v>
      </c>
      <c r="H22" s="23">
        <f t="shared" si="3"/>
        <v>37998</v>
      </c>
      <c r="I22" s="43">
        <f t="shared" si="3"/>
        <v>1691606</v>
      </c>
      <c r="J22" s="23">
        <f>SUM(J6:J21)</f>
        <v>1761212</v>
      </c>
      <c r="K22" s="77">
        <f t="shared" si="3"/>
        <v>1584313</v>
      </c>
      <c r="L22" s="279">
        <f t="shared" si="2"/>
        <v>0.1117</v>
      </c>
      <c r="M22" s="87" t="s">
        <v>444</v>
      </c>
    </row>
    <row r="23" spans="1:13" ht="12" customHeight="1">
      <c r="A23" s="81" t="s">
        <v>464</v>
      </c>
      <c r="B23" s="2"/>
      <c r="C23" s="75"/>
      <c r="D23" s="348"/>
      <c r="E23" s="348"/>
      <c r="F23" s="348"/>
      <c r="G23" s="348"/>
      <c r="H23" s="348"/>
      <c r="I23" s="569">
        <f>[2]!SP1000P200F1000</f>
        <v>31457</v>
      </c>
      <c r="J23" s="569">
        <f>SUM(D24:H24)</f>
        <v>0</v>
      </c>
      <c r="K23" s="569">
        <f>[1]!SP1000P200F1000</f>
        <v>0</v>
      </c>
      <c r="L23" s="579">
        <f>IF(J23=K23,0,IF(K23&gt;0,(J23-K23)/K23,"--"))</f>
        <v>0</v>
      </c>
      <c r="M23" s="35"/>
    </row>
    <row r="24" spans="1:13" ht="12" customHeight="1">
      <c r="A24" s="85" t="s">
        <v>465</v>
      </c>
      <c r="B24" s="2"/>
      <c r="C24" s="86" t="s">
        <v>445</v>
      </c>
      <c r="D24" s="347"/>
      <c r="E24" s="347"/>
      <c r="F24" s="347"/>
      <c r="G24" s="347"/>
      <c r="H24" s="347"/>
      <c r="I24" s="570"/>
      <c r="J24" s="570"/>
      <c r="K24" s="570"/>
      <c r="L24" s="580"/>
      <c r="M24" s="87" t="s">
        <v>445</v>
      </c>
    </row>
    <row r="25" spans="1:13" ht="12" customHeight="1">
      <c r="A25" s="85" t="s">
        <v>304</v>
      </c>
      <c r="B25" s="2"/>
      <c r="C25" s="75"/>
      <c r="D25" s="348"/>
      <c r="E25" s="348"/>
      <c r="F25" s="348"/>
      <c r="G25" s="348"/>
      <c r="H25" s="348"/>
      <c r="I25" s="569">
        <f>[2]!SP1000P200F2100</f>
        <v>0</v>
      </c>
      <c r="J25" s="569">
        <f>SUM(D26:H26)</f>
        <v>0</v>
      </c>
      <c r="K25" s="569">
        <f>[1]!SP1000P200F2100</f>
        <v>0</v>
      </c>
      <c r="L25" s="579">
        <f>IF(J25=K25,0,IF(K25&gt;0,(J25-K25)/K25,"--"))</f>
        <v>0</v>
      </c>
      <c r="M25" s="35"/>
    </row>
    <row r="26" spans="1:13" ht="12" customHeight="1">
      <c r="A26" s="85" t="s">
        <v>298</v>
      </c>
      <c r="B26" s="2"/>
      <c r="C26" s="86" t="s">
        <v>446</v>
      </c>
      <c r="D26" s="347"/>
      <c r="E26" s="347"/>
      <c r="F26" s="347"/>
      <c r="G26" s="347"/>
      <c r="H26" s="347"/>
      <c r="I26" s="570"/>
      <c r="J26" s="570"/>
      <c r="K26" s="570"/>
      <c r="L26" s="580"/>
      <c r="M26" s="87" t="s">
        <v>446</v>
      </c>
    </row>
    <row r="27" spans="1:13" ht="12" customHeight="1">
      <c r="A27" s="85" t="s">
        <v>278</v>
      </c>
      <c r="B27" s="2"/>
      <c r="C27" s="86" t="s">
        <v>448</v>
      </c>
      <c r="D27" s="76"/>
      <c r="E27" s="17"/>
      <c r="F27" s="76"/>
      <c r="G27" s="17"/>
      <c r="H27" s="76"/>
      <c r="I27" s="77">
        <f>[2]!SP1000P200F2200</f>
        <v>0</v>
      </c>
      <c r="J27" s="77">
        <f aca="true" t="shared" si="4" ref="J27:J35">SUM(D27:H27)</f>
        <v>0</v>
      </c>
      <c r="K27" s="77">
        <f>[1]!SP1000P200F2200</f>
        <v>0</v>
      </c>
      <c r="L27" s="279">
        <f>IF(J27=K27,0,IF(K27&gt;0,(J27-K27)/K27,"--"))</f>
        <v>0</v>
      </c>
      <c r="M27" s="87" t="s">
        <v>448</v>
      </c>
    </row>
    <row r="28" spans="1:13" ht="12" customHeight="1">
      <c r="A28" s="85" t="s">
        <v>466</v>
      </c>
      <c r="B28" s="2"/>
      <c r="C28" s="86" t="s">
        <v>449</v>
      </c>
      <c r="D28" s="76"/>
      <c r="E28" s="17"/>
      <c r="F28" s="76"/>
      <c r="G28" s="17"/>
      <c r="H28" s="76"/>
      <c r="I28" s="77">
        <f>[2]!SP1000P200F2300</f>
        <v>0</v>
      </c>
      <c r="J28" s="77">
        <f t="shared" si="4"/>
        <v>0</v>
      </c>
      <c r="K28" s="77">
        <f>[1]!SP1000P200F2300</f>
        <v>0</v>
      </c>
      <c r="L28" s="279">
        <f aca="true" t="shared" si="5" ref="L28:L47">IF(J28=K28,0,IF(K28&gt;0,(J28-K28)/K28,"--"))</f>
        <v>0</v>
      </c>
      <c r="M28" s="87" t="s">
        <v>449</v>
      </c>
    </row>
    <row r="29" spans="1:13" ht="12" customHeight="1">
      <c r="A29" s="85" t="s">
        <v>467</v>
      </c>
      <c r="B29" s="2"/>
      <c r="C29" s="86" t="s">
        <v>450</v>
      </c>
      <c r="D29" s="76"/>
      <c r="E29" s="17"/>
      <c r="F29" s="76"/>
      <c r="G29" s="17"/>
      <c r="H29" s="76"/>
      <c r="I29" s="77">
        <f>[2]!SP1000P200F2400</f>
        <v>0</v>
      </c>
      <c r="J29" s="77">
        <f t="shared" si="4"/>
        <v>0</v>
      </c>
      <c r="K29" s="77">
        <f>[1]!SP1000P200F2400</f>
        <v>0</v>
      </c>
      <c r="L29" s="279">
        <f t="shared" si="5"/>
        <v>0</v>
      </c>
      <c r="M29" s="87" t="s">
        <v>450</v>
      </c>
    </row>
    <row r="30" spans="1:13" ht="12" customHeight="1">
      <c r="A30" s="85" t="s">
        <v>279</v>
      </c>
      <c r="B30" s="2"/>
      <c r="C30" s="86" t="s">
        <v>451</v>
      </c>
      <c r="D30" s="76"/>
      <c r="E30" s="17"/>
      <c r="F30" s="76"/>
      <c r="G30" s="17"/>
      <c r="H30" s="76"/>
      <c r="I30" s="77">
        <f>[2]!SP1000P200F2500</f>
        <v>0</v>
      </c>
      <c r="J30" s="77">
        <f>SUM(D30:H30)</f>
        <v>0</v>
      </c>
      <c r="K30" s="77">
        <f>[1]!SP1000P200F2500</f>
        <v>0</v>
      </c>
      <c r="L30" s="279">
        <f t="shared" si="5"/>
        <v>0</v>
      </c>
      <c r="M30" s="87" t="s">
        <v>451</v>
      </c>
    </row>
    <row r="31" spans="1:13" ht="12" customHeight="1">
      <c r="A31" s="85" t="s">
        <v>238</v>
      </c>
      <c r="B31" s="2"/>
      <c r="C31" s="86" t="s">
        <v>452</v>
      </c>
      <c r="D31" s="76"/>
      <c r="E31" s="17"/>
      <c r="F31" s="76"/>
      <c r="G31" s="17"/>
      <c r="H31" s="76"/>
      <c r="I31" s="77">
        <f>[2]!SP1000P200F2600</f>
        <v>0</v>
      </c>
      <c r="J31" s="77">
        <f>SUM(D31:H31)</f>
        <v>0</v>
      </c>
      <c r="K31" s="77">
        <f>[1]!SP1000P200F2600</f>
        <v>0</v>
      </c>
      <c r="L31" s="279">
        <f t="shared" si="5"/>
        <v>0</v>
      </c>
      <c r="M31" s="87" t="s">
        <v>452</v>
      </c>
    </row>
    <row r="32" spans="1:13" ht="12" customHeight="1">
      <c r="A32" s="85" t="s">
        <v>388</v>
      </c>
      <c r="B32" s="2"/>
      <c r="C32" s="86" t="s">
        <v>453</v>
      </c>
      <c r="D32" s="76"/>
      <c r="E32" s="17"/>
      <c r="F32" s="76"/>
      <c r="G32" s="17"/>
      <c r="H32" s="76"/>
      <c r="I32" s="77">
        <f>[2]!SP1000P200F2900</f>
        <v>0</v>
      </c>
      <c r="J32" s="77">
        <f t="shared" si="4"/>
        <v>0</v>
      </c>
      <c r="K32" s="77">
        <f>[1]!SP1000P200F2900</f>
        <v>0</v>
      </c>
      <c r="L32" s="279">
        <f t="shared" si="5"/>
        <v>0</v>
      </c>
      <c r="M32" s="87" t="s">
        <v>453</v>
      </c>
    </row>
    <row r="33" spans="1:13" ht="12" customHeight="1">
      <c r="A33" s="85" t="s">
        <v>468</v>
      </c>
      <c r="B33" s="2"/>
      <c r="C33" s="86" t="s">
        <v>454</v>
      </c>
      <c r="D33" s="76"/>
      <c r="E33" s="17"/>
      <c r="F33" s="76"/>
      <c r="G33" s="17"/>
      <c r="H33" s="76"/>
      <c r="I33" s="77">
        <f>[2]!SP1000P200F3000</f>
        <v>0</v>
      </c>
      <c r="J33" s="77">
        <f t="shared" si="4"/>
        <v>0</v>
      </c>
      <c r="K33" s="77">
        <f>[1]!SP1000P200F3000</f>
        <v>0</v>
      </c>
      <c r="L33" s="279">
        <f t="shared" si="5"/>
        <v>0</v>
      </c>
      <c r="M33" s="87" t="s">
        <v>454</v>
      </c>
    </row>
    <row r="34" spans="1:13" ht="12" customHeight="1">
      <c r="A34" s="85" t="s">
        <v>239</v>
      </c>
      <c r="B34" s="2"/>
      <c r="C34" s="86" t="s">
        <v>499</v>
      </c>
      <c r="D34" s="76"/>
      <c r="E34" s="17"/>
      <c r="F34" s="76"/>
      <c r="G34" s="17"/>
      <c r="H34" s="76"/>
      <c r="I34" s="77">
        <f>[2]!SP1000P200F4000</f>
        <v>0</v>
      </c>
      <c r="J34" s="77">
        <f t="shared" si="4"/>
        <v>0</v>
      </c>
      <c r="K34" s="77">
        <f>[1]!SP1000P200F4000</f>
        <v>0</v>
      </c>
      <c r="L34" s="279">
        <f t="shared" si="5"/>
        <v>0</v>
      </c>
      <c r="M34" s="87" t="s">
        <v>499</v>
      </c>
    </row>
    <row r="35" spans="1:13" ht="12" customHeight="1">
      <c r="A35" s="85" t="s">
        <v>469</v>
      </c>
      <c r="B35" s="2"/>
      <c r="C35" s="86" t="s">
        <v>500</v>
      </c>
      <c r="D35" s="88"/>
      <c r="E35" s="17"/>
      <c r="F35" s="76"/>
      <c r="G35" s="17"/>
      <c r="H35" s="76"/>
      <c r="I35" s="77">
        <f>[2]!SP1000P200F5000</f>
        <v>0</v>
      </c>
      <c r="J35" s="77">
        <f t="shared" si="4"/>
        <v>0</v>
      </c>
      <c r="K35" s="77">
        <f>[1]!SP1000P200F5000</f>
        <v>0</v>
      </c>
      <c r="L35" s="279">
        <f t="shared" si="5"/>
        <v>0</v>
      </c>
      <c r="M35" s="87" t="s">
        <v>500</v>
      </c>
    </row>
    <row r="36" spans="1:13" ht="12" customHeight="1">
      <c r="A36" s="89" t="s">
        <v>386</v>
      </c>
      <c r="B36" s="8"/>
      <c r="C36" s="90" t="s">
        <v>501</v>
      </c>
      <c r="D36" s="23">
        <f aca="true" t="shared" si="6" ref="D36:K36">SUM(D23:D35)</f>
        <v>0</v>
      </c>
      <c r="E36" s="23">
        <f t="shared" si="6"/>
        <v>0</v>
      </c>
      <c r="F36" s="23">
        <f t="shared" si="6"/>
        <v>0</v>
      </c>
      <c r="G36" s="23">
        <f t="shared" si="6"/>
        <v>0</v>
      </c>
      <c r="H36" s="23">
        <f t="shared" si="6"/>
        <v>0</v>
      </c>
      <c r="I36" s="43">
        <f t="shared" si="6"/>
        <v>31457</v>
      </c>
      <c r="J36" s="43">
        <f>SUM(J23:J35)</f>
        <v>0</v>
      </c>
      <c r="K36" s="77">
        <f t="shared" si="6"/>
        <v>0</v>
      </c>
      <c r="L36" s="279">
        <f t="shared" si="5"/>
        <v>0</v>
      </c>
      <c r="M36" s="87" t="s">
        <v>501</v>
      </c>
    </row>
    <row r="37" spans="1:13" ht="12" customHeight="1">
      <c r="A37" s="91" t="s">
        <v>470</v>
      </c>
      <c r="B37" s="92"/>
      <c r="C37" s="93" t="s">
        <v>503</v>
      </c>
      <c r="D37" s="76">
        <v>47709</v>
      </c>
      <c r="E37" s="17">
        <f>15424-161</f>
        <v>15263</v>
      </c>
      <c r="F37" s="76">
        <v>97067</v>
      </c>
      <c r="G37" s="17">
        <v>10882</v>
      </c>
      <c r="H37" s="76">
        <v>1280</v>
      </c>
      <c r="I37" s="77">
        <f>[2]!SP1000P400</f>
        <v>0</v>
      </c>
      <c r="J37" s="77">
        <f>SUM(D37:H37)</f>
        <v>172201</v>
      </c>
      <c r="K37" s="77">
        <f>[1]!SP1000P400</f>
        <v>189217</v>
      </c>
      <c r="L37" s="279">
        <f t="shared" si="5"/>
        <v>-0.0899</v>
      </c>
      <c r="M37" s="87" t="s">
        <v>503</v>
      </c>
    </row>
    <row r="38" spans="1:13" ht="12" customHeight="1">
      <c r="A38" s="91" t="s">
        <v>471</v>
      </c>
      <c r="B38" s="92"/>
      <c r="C38" s="93" t="s">
        <v>504</v>
      </c>
      <c r="D38" s="76"/>
      <c r="E38" s="17"/>
      <c r="F38" s="76"/>
      <c r="G38" s="17"/>
      <c r="H38" s="76"/>
      <c r="I38" s="77">
        <f>[2]!SP1000P530</f>
        <v>0</v>
      </c>
      <c r="J38" s="77">
        <f>SUM(D38:H38)</f>
        <v>0</v>
      </c>
      <c r="K38" s="77">
        <f>[1]!SP1000P530</f>
        <v>0</v>
      </c>
      <c r="L38" s="279">
        <f t="shared" si="5"/>
        <v>0</v>
      </c>
      <c r="M38" s="87" t="s">
        <v>504</v>
      </c>
    </row>
    <row r="39" spans="1:13" ht="12" customHeight="1">
      <c r="A39" s="91" t="s">
        <v>280</v>
      </c>
      <c r="B39" s="92"/>
      <c r="C39" s="93" t="s">
        <v>505</v>
      </c>
      <c r="D39" s="76"/>
      <c r="E39" s="17"/>
      <c r="F39" s="76"/>
      <c r="G39" s="17"/>
      <c r="H39" s="76"/>
      <c r="I39" s="77">
        <f>[2]!SP1000P540</f>
        <v>0</v>
      </c>
      <c r="J39" s="77">
        <f>SUM(D39:H39)</f>
        <v>0</v>
      </c>
      <c r="K39" s="77">
        <f>[1]!SP1000P540</f>
        <v>0</v>
      </c>
      <c r="L39" s="279">
        <f t="shared" si="5"/>
        <v>0</v>
      </c>
      <c r="M39" s="87" t="s">
        <v>505</v>
      </c>
    </row>
    <row r="40" spans="1:13" ht="12" customHeight="1">
      <c r="A40" s="91" t="s">
        <v>193</v>
      </c>
      <c r="B40" s="92"/>
      <c r="C40" s="93" t="s">
        <v>506</v>
      </c>
      <c r="D40" s="76"/>
      <c r="E40" s="17"/>
      <c r="F40" s="76"/>
      <c r="G40" s="17"/>
      <c r="H40" s="76"/>
      <c r="I40" s="77">
        <f>[2]!SP1000P550</f>
        <v>0</v>
      </c>
      <c r="J40" s="77">
        <f>SUM(D40:H40)</f>
        <v>0</v>
      </c>
      <c r="K40" s="77">
        <f>[1]!SP1000P550</f>
        <v>0</v>
      </c>
      <c r="L40" s="279">
        <f t="shared" si="5"/>
        <v>0</v>
      </c>
      <c r="M40" s="87" t="s">
        <v>506</v>
      </c>
    </row>
    <row r="41" spans="1:13" ht="12" customHeight="1">
      <c r="A41" s="91" t="s">
        <v>83</v>
      </c>
      <c r="B41" s="92"/>
      <c r="C41" s="93" t="s">
        <v>509</v>
      </c>
      <c r="D41" s="23">
        <f aca="true" t="shared" si="7" ref="D41:I41">SUM(D37:D40)+D36+D22</f>
        <v>796087</v>
      </c>
      <c r="E41" s="23">
        <f t="shared" si="7"/>
        <v>210428</v>
      </c>
      <c r="F41" s="23">
        <f t="shared" si="7"/>
        <v>781830</v>
      </c>
      <c r="G41" s="23">
        <f t="shared" si="7"/>
        <v>105790</v>
      </c>
      <c r="H41" s="23">
        <f t="shared" si="7"/>
        <v>39278</v>
      </c>
      <c r="I41" s="43">
        <f t="shared" si="7"/>
        <v>1723063</v>
      </c>
      <c r="J41" s="23">
        <f>SUM(J36:J40)+J22</f>
        <v>1933413</v>
      </c>
      <c r="K41" s="77">
        <f>SUM(K22)+SUM(K36:K40)</f>
        <v>1773530</v>
      </c>
      <c r="L41" s="279">
        <f t="shared" si="5"/>
        <v>0.0901</v>
      </c>
      <c r="M41" s="87" t="s">
        <v>509</v>
      </c>
    </row>
    <row r="42" spans="1:13" ht="12" customHeight="1">
      <c r="A42" s="91" t="s">
        <v>356</v>
      </c>
      <c r="B42" s="92"/>
      <c r="C42" s="93" t="s">
        <v>510</v>
      </c>
      <c r="D42" s="43">
        <f>TotalCSP6100</f>
        <v>70423</v>
      </c>
      <c r="E42" s="43">
        <f>TotalCSP6200</f>
        <v>30980</v>
      </c>
      <c r="F42" s="43">
        <f>TotalCSP630064006500</f>
        <v>0</v>
      </c>
      <c r="G42" s="43">
        <f>TotalCSP6600</f>
        <v>0</v>
      </c>
      <c r="H42" s="94"/>
      <c r="I42" s="182">
        <f>[2]!SP1000ClassSiteProj</f>
        <v>91560</v>
      </c>
      <c r="J42" s="43">
        <f>SUM(D42:H42)</f>
        <v>101403</v>
      </c>
      <c r="K42" s="77">
        <f>[1]!SP1000ClassSiteProj</f>
        <v>100000</v>
      </c>
      <c r="L42" s="279">
        <f t="shared" si="5"/>
        <v>0.014</v>
      </c>
      <c r="M42" s="87" t="s">
        <v>510</v>
      </c>
    </row>
    <row r="43" spans="1:13" ht="12" customHeight="1">
      <c r="A43" s="91" t="s">
        <v>341</v>
      </c>
      <c r="B43" s="92"/>
      <c r="C43" s="93" t="s">
        <v>378</v>
      </c>
      <c r="D43" s="94"/>
      <c r="E43" s="94"/>
      <c r="F43" s="94"/>
      <c r="G43" s="94"/>
      <c r="H43" s="94"/>
      <c r="I43" s="182">
        <f>[2]!SP1000InstrImpProj</f>
        <v>10308</v>
      </c>
      <c r="J43" s="43">
        <f>ActualTotalInstImpExp</f>
        <v>8350</v>
      </c>
      <c r="K43" s="77">
        <f>[1]!SP1000InstrImpProj</f>
        <v>11000</v>
      </c>
      <c r="L43" s="279">
        <f t="shared" si="5"/>
        <v>-0.2409</v>
      </c>
      <c r="M43" s="87" t="s">
        <v>378</v>
      </c>
    </row>
    <row r="44" spans="1:14" ht="12" customHeight="1">
      <c r="A44" s="270" t="s">
        <v>220</v>
      </c>
      <c r="B44" s="271"/>
      <c r="C44" s="272" t="s">
        <v>401</v>
      </c>
      <c r="D44" s="182">
        <f>TotalSEIP6100</f>
        <v>0</v>
      </c>
      <c r="E44" s="182">
        <f>TotalSEIP6200</f>
        <v>0</v>
      </c>
      <c r="F44" s="182">
        <f>TotalSEIP630064006500</f>
        <v>0</v>
      </c>
      <c r="G44" s="182">
        <f>TotalSEIP6600</f>
        <v>0</v>
      </c>
      <c r="H44" s="182">
        <f>TotalSEIP6800</f>
        <v>0</v>
      </c>
      <c r="I44" s="182">
        <f>[2]!SP1000StruEngImmProj</f>
        <v>0</v>
      </c>
      <c r="J44" s="182">
        <f>SUM(D44:H44)</f>
        <v>0</v>
      </c>
      <c r="K44" s="77">
        <f>[1]!SP1000StruEngImmProj</f>
        <v>0</v>
      </c>
      <c r="L44" s="279">
        <f t="shared" si="5"/>
        <v>0</v>
      </c>
      <c r="M44" s="260" t="s">
        <v>401</v>
      </c>
      <c r="N44" s="47"/>
    </row>
    <row r="45" spans="1:14" ht="12" customHeight="1">
      <c r="A45" s="270" t="s">
        <v>221</v>
      </c>
      <c r="B45" s="271"/>
      <c r="C45" s="272" t="s">
        <v>328</v>
      </c>
      <c r="D45" s="182">
        <f>TotalCIP6100</f>
        <v>0</v>
      </c>
      <c r="E45" s="182">
        <f>TotalCIP6200</f>
        <v>0</v>
      </c>
      <c r="F45" s="182">
        <f>TotalCIP630064006500</f>
        <v>0</v>
      </c>
      <c r="G45" s="182">
        <f>TotalCIP6600</f>
        <v>0</v>
      </c>
      <c r="H45" s="182">
        <f>TotalCIP6800</f>
        <v>0</v>
      </c>
      <c r="I45" s="182">
        <f>[2]!SP1000CompInstrProj</f>
        <v>0</v>
      </c>
      <c r="J45" s="182">
        <f>SUM(D45:H45)</f>
        <v>0</v>
      </c>
      <c r="K45" s="77">
        <f>[1]!SP1000CompInstrProj</f>
        <v>0</v>
      </c>
      <c r="L45" s="279">
        <f t="shared" si="5"/>
        <v>0</v>
      </c>
      <c r="M45" s="260" t="s">
        <v>328</v>
      </c>
      <c r="N45" s="47"/>
    </row>
    <row r="46" spans="1:14" ht="12" customHeight="1">
      <c r="A46" s="450" t="s">
        <v>23</v>
      </c>
      <c r="B46" s="451"/>
      <c r="C46" s="272" t="s">
        <v>342</v>
      </c>
      <c r="D46" s="276"/>
      <c r="E46" s="276"/>
      <c r="F46" s="276"/>
      <c r="G46" s="276"/>
      <c r="H46" s="276"/>
      <c r="I46" s="182">
        <f>[2]!SP1000FedStProj</f>
        <v>186400</v>
      </c>
      <c r="J46" s="95">
        <f>ActualTotalFederalAndStateProjects</f>
        <v>171666</v>
      </c>
      <c r="K46" s="77">
        <f>[1]!SP1000FedStProj</f>
        <v>185975</v>
      </c>
      <c r="L46" s="279">
        <f t="shared" si="5"/>
        <v>-0.0769</v>
      </c>
      <c r="M46" s="260" t="s">
        <v>342</v>
      </c>
      <c r="N46" s="47"/>
    </row>
    <row r="47" spans="1:14" ht="10.5" customHeight="1">
      <c r="A47" s="270" t="s">
        <v>84</v>
      </c>
      <c r="B47" s="271"/>
      <c r="C47" s="272" t="s">
        <v>271</v>
      </c>
      <c r="D47" s="276"/>
      <c r="E47" s="276"/>
      <c r="F47" s="276"/>
      <c r="G47" s="276"/>
      <c r="H47" s="276"/>
      <c r="I47" s="182">
        <f>SUM(I41:I46)</f>
        <v>2011331</v>
      </c>
      <c r="J47" s="95">
        <f>SUM(J41:J46)</f>
        <v>2214832</v>
      </c>
      <c r="K47" s="77">
        <f>SUM(K41:K46)</f>
        <v>2070505</v>
      </c>
      <c r="L47" s="279">
        <f t="shared" si="5"/>
        <v>0.0697</v>
      </c>
      <c r="M47" s="260" t="s">
        <v>271</v>
      </c>
      <c r="N47" s="47"/>
    </row>
    <row r="48" spans="1:14" ht="12" customHeight="1">
      <c r="A48" s="273"/>
      <c r="B48" s="47"/>
      <c r="C48" s="47"/>
      <c r="D48" s="47"/>
      <c r="E48" s="47"/>
      <c r="F48" s="47"/>
      <c r="G48" s="47"/>
      <c r="H48" s="47"/>
      <c r="I48" s="47"/>
      <c r="J48" s="47"/>
      <c r="K48" s="47"/>
      <c r="L48" s="47"/>
      <c r="M48" s="47"/>
      <c r="N48" s="47"/>
    </row>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sheetProtection sheet="1" formatCells="0" formatColumns="0" formatRows="0"/>
  <mergeCells count="19">
    <mergeCell ref="B1:C1"/>
    <mergeCell ref="L3:L5"/>
    <mergeCell ref="I3:K3"/>
    <mergeCell ref="L23:L24"/>
    <mergeCell ref="L25:L26"/>
    <mergeCell ref="L6:L7"/>
    <mergeCell ref="L8:L9"/>
    <mergeCell ref="K6:K7"/>
    <mergeCell ref="K8:K9"/>
    <mergeCell ref="K23:K24"/>
    <mergeCell ref="K25:K26"/>
    <mergeCell ref="J25:J26"/>
    <mergeCell ref="I25:I26"/>
    <mergeCell ref="J6:J7"/>
    <mergeCell ref="J8:J9"/>
    <mergeCell ref="I23:I24"/>
    <mergeCell ref="J23:J24"/>
    <mergeCell ref="I6:I7"/>
    <mergeCell ref="I8:I9"/>
  </mergeCells>
  <hyperlinks>
    <hyperlink ref="A4" location="ExpensesPage2" display="Expenses"/>
    <hyperlink ref="A46:B46" location="FederalAndStateProjectsPage2" display="Federal and State Projects (from page 9, line 30)"/>
  </hyperlinks>
  <printOptions horizontalCentered="1"/>
  <pageMargins left="1" right="0.25" top="0" bottom="0" header="0" footer="0.15"/>
  <pageSetup fitToHeight="1" fitToWidth="1" horizontalDpi="600" verticalDpi="600" orientation="landscape" paperSize="5"/>
  <headerFooter alignWithMargins="0">
    <oddFooter>&amp;LRev. 8/18&amp;CFY 2018&amp;RPage 2 of 10</oddFooter>
  </headerFooter>
  <drawing r:id="rId1"/>
</worksheet>
</file>

<file path=xl/worksheets/sheet4.xml><?xml version="1.0" encoding="utf-8"?>
<worksheet xmlns="http://schemas.openxmlformats.org/spreadsheetml/2006/main" xmlns:r="http://schemas.openxmlformats.org/officeDocument/2006/relationships">
  <dimension ref="A1:M50"/>
  <sheetViews>
    <sheetView showGridLines="0" workbookViewId="0" topLeftCell="A1">
      <selection activeCell="G27" sqref="G27"/>
    </sheetView>
  </sheetViews>
  <sheetFormatPr defaultColWidth="10.66015625" defaultRowHeight="12.75" customHeight="1"/>
  <cols>
    <col min="1" max="1" width="1.83203125" style="99" customWidth="1"/>
    <col min="2" max="2" width="2" style="99" customWidth="1"/>
    <col min="3" max="3" width="21" style="99" customWidth="1"/>
    <col min="4" max="4" width="33.5" style="99" customWidth="1"/>
    <col min="5" max="5" width="4.5" style="99" customWidth="1"/>
    <col min="6" max="13" width="16" style="99" customWidth="1"/>
    <col min="14" max="14" width="4.5" style="99" customWidth="1"/>
    <col min="15" max="16384" width="10.66015625" style="99" customWidth="1"/>
  </cols>
  <sheetData>
    <row r="1" spans="1:11" ht="12.75" customHeight="1">
      <c r="A1" s="98" t="s">
        <v>422</v>
      </c>
      <c r="D1" s="100" t="str">
        <f>'Cover Page'!D1</f>
        <v>George Gervin Youth Center, Inc. </v>
      </c>
      <c r="E1" s="101"/>
      <c r="F1" s="103" t="s">
        <v>402</v>
      </c>
      <c r="G1" s="100" t="str">
        <f>'Cover Page'!M1</f>
        <v>Maricopa</v>
      </c>
      <c r="H1" s="104"/>
      <c r="I1" s="103" t="s">
        <v>399</v>
      </c>
      <c r="J1" s="105" t="str">
        <f>'Cover Page'!R1</f>
        <v>078585000</v>
      </c>
      <c r="K1" s="104"/>
    </row>
    <row r="2" spans="1:13" ht="12.75" customHeight="1">
      <c r="A2" s="106"/>
      <c r="B2" s="106"/>
      <c r="C2" s="106"/>
      <c r="D2" s="106"/>
      <c r="E2" s="106"/>
      <c r="F2" s="106"/>
      <c r="G2" s="106"/>
      <c r="H2" s="106"/>
      <c r="I2" s="106"/>
      <c r="J2" s="107"/>
      <c r="K2" s="107"/>
      <c r="L2" s="107"/>
      <c r="M2" s="107"/>
    </row>
    <row r="3" spans="1:13" ht="12.75" customHeight="1">
      <c r="A3" s="106"/>
      <c r="B3" s="106"/>
      <c r="C3" s="106"/>
      <c r="D3" s="106"/>
      <c r="E3" s="106"/>
      <c r="F3" s="106"/>
      <c r="G3" s="106"/>
      <c r="H3" s="106"/>
      <c r="I3" s="106"/>
      <c r="J3" s="107"/>
      <c r="K3" s="107"/>
      <c r="L3" s="107"/>
      <c r="M3" s="107"/>
    </row>
    <row r="4" spans="1:12" ht="12.75" customHeight="1">
      <c r="A4" s="108"/>
      <c r="B4" s="109"/>
      <c r="C4" s="109"/>
      <c r="D4" s="109"/>
      <c r="E4" s="110"/>
      <c r="F4" s="111"/>
      <c r="G4" s="112" t="s">
        <v>403</v>
      </c>
      <c r="H4" s="585" t="s">
        <v>404</v>
      </c>
      <c r="I4" s="586"/>
      <c r="J4" s="107"/>
      <c r="K4" s="107"/>
      <c r="L4" s="107"/>
    </row>
    <row r="5" spans="1:9" ht="12.75" customHeight="1">
      <c r="A5" s="113" t="s">
        <v>374</v>
      </c>
      <c r="B5" s="107"/>
      <c r="C5" s="107"/>
      <c r="D5" s="107"/>
      <c r="E5" s="114"/>
      <c r="F5" s="115" t="s">
        <v>405</v>
      </c>
      <c r="G5" s="116" t="s">
        <v>406</v>
      </c>
      <c r="H5" s="115"/>
      <c r="I5" s="115"/>
    </row>
    <row r="6" spans="1:9" ht="12" customHeight="1">
      <c r="A6" s="117"/>
      <c r="B6" s="118"/>
      <c r="C6" s="118"/>
      <c r="D6" s="118"/>
      <c r="E6" s="119"/>
      <c r="F6" s="120">
        <v>6100</v>
      </c>
      <c r="G6" s="121">
        <v>6200</v>
      </c>
      <c r="H6" s="120" t="s">
        <v>308</v>
      </c>
      <c r="I6" s="120" t="s">
        <v>309</v>
      </c>
    </row>
    <row r="7" spans="1:11" ht="12.75" customHeight="1">
      <c r="A7" s="122" t="s">
        <v>407</v>
      </c>
      <c r="B7" s="107"/>
      <c r="C7" s="107"/>
      <c r="D7" s="107"/>
      <c r="E7" s="107"/>
      <c r="F7" s="341"/>
      <c r="G7" s="341"/>
      <c r="H7" s="588">
        <f>[2]!CSP1011P100F1000</f>
        <v>18312</v>
      </c>
      <c r="I7" s="587">
        <f>SUM(F9:G9)</f>
        <v>20281</v>
      </c>
      <c r="J7" s="74"/>
      <c r="K7" s="74"/>
    </row>
    <row r="8" spans="1:11" ht="12.75" customHeight="1">
      <c r="A8" s="123"/>
      <c r="B8" s="107" t="s">
        <v>458</v>
      </c>
      <c r="C8" s="107"/>
      <c r="D8" s="107"/>
      <c r="E8" s="124"/>
      <c r="F8" s="352"/>
      <c r="G8" s="352"/>
      <c r="H8" s="588"/>
      <c r="I8" s="588"/>
      <c r="J8" s="74"/>
      <c r="K8" s="74"/>
    </row>
    <row r="9" spans="1:11" ht="12.75" customHeight="1">
      <c r="A9" s="123"/>
      <c r="B9" s="107"/>
      <c r="C9" s="107" t="s">
        <v>347</v>
      </c>
      <c r="D9" s="107"/>
      <c r="E9" s="124">
        <v>1</v>
      </c>
      <c r="F9" s="125">
        <v>14085</v>
      </c>
      <c r="G9" s="125">
        <v>6196</v>
      </c>
      <c r="H9" s="589"/>
      <c r="I9" s="589"/>
      <c r="J9" s="126" t="s">
        <v>428</v>
      </c>
      <c r="K9" s="74"/>
    </row>
    <row r="10" spans="1:11" ht="12.75" customHeight="1">
      <c r="A10" s="123"/>
      <c r="B10" s="107"/>
      <c r="C10" s="107" t="s">
        <v>408</v>
      </c>
      <c r="D10" s="107"/>
      <c r="E10" s="124">
        <v>2</v>
      </c>
      <c r="F10" s="125"/>
      <c r="G10" s="125"/>
      <c r="H10" s="102">
        <f>[2]!CSP1011P100F2100</f>
        <v>0</v>
      </c>
      <c r="I10" s="102">
        <f>SUM(F10:G10)</f>
        <v>0</v>
      </c>
      <c r="J10" s="126" t="s">
        <v>429</v>
      </c>
      <c r="K10" s="74"/>
    </row>
    <row r="11" spans="1:11" ht="12.75" customHeight="1">
      <c r="A11" s="123"/>
      <c r="B11" s="107"/>
      <c r="C11" s="107" t="s">
        <v>281</v>
      </c>
      <c r="D11" s="107"/>
      <c r="E11" s="124">
        <v>3</v>
      </c>
      <c r="F11" s="125"/>
      <c r="G11" s="125"/>
      <c r="H11" s="102">
        <f>[2]!CSP1011P100F2200</f>
        <v>0</v>
      </c>
      <c r="I11" s="102">
        <f>SUM(F11:G11)</f>
        <v>0</v>
      </c>
      <c r="J11" s="126" t="s">
        <v>430</v>
      </c>
      <c r="K11" s="74"/>
    </row>
    <row r="12" spans="1:10" ht="12.75" customHeight="1">
      <c r="A12" s="117"/>
      <c r="B12" s="118" t="s">
        <v>409</v>
      </c>
      <c r="C12" s="118"/>
      <c r="D12" s="118"/>
      <c r="E12" s="127">
        <v>4</v>
      </c>
      <c r="F12" s="128">
        <f>SUM(F7:F11)</f>
        <v>14085</v>
      </c>
      <c r="G12" s="128">
        <f>SUM(G7:G11)</f>
        <v>6196</v>
      </c>
      <c r="H12" s="102">
        <f>SUM(H7:H11)</f>
        <v>18312</v>
      </c>
      <c r="I12" s="102">
        <f>SUM(I7:I11)</f>
        <v>20281</v>
      </c>
      <c r="J12" s="129" t="s">
        <v>431</v>
      </c>
    </row>
    <row r="13" spans="1:11" ht="12.75" customHeight="1">
      <c r="A13" s="123"/>
      <c r="B13" s="107" t="s">
        <v>464</v>
      </c>
      <c r="C13" s="107"/>
      <c r="D13" s="107"/>
      <c r="E13" s="124"/>
      <c r="F13" s="352"/>
      <c r="G13" s="352"/>
      <c r="H13" s="588">
        <f>[2]!CSP1011P200F1000</f>
        <v>0</v>
      </c>
      <c r="I13" s="587">
        <f>SUM(F14:G14)</f>
        <v>0</v>
      </c>
      <c r="J13" s="126"/>
      <c r="K13" s="74"/>
    </row>
    <row r="14" spans="1:11" ht="12.75" customHeight="1">
      <c r="A14" s="123"/>
      <c r="B14" s="107"/>
      <c r="C14" s="107" t="s">
        <v>347</v>
      </c>
      <c r="D14" s="107"/>
      <c r="E14" s="124">
        <v>5</v>
      </c>
      <c r="F14" s="353"/>
      <c r="G14" s="137"/>
      <c r="H14" s="589"/>
      <c r="I14" s="589"/>
      <c r="J14" s="126" t="s">
        <v>432</v>
      </c>
      <c r="K14" s="74"/>
    </row>
    <row r="15" spans="1:11" ht="12.75" customHeight="1">
      <c r="A15" s="123"/>
      <c r="B15" s="107"/>
      <c r="C15" s="107" t="s">
        <v>408</v>
      </c>
      <c r="D15" s="107"/>
      <c r="E15" s="124">
        <v>6</v>
      </c>
      <c r="F15" s="130"/>
      <c r="G15" s="131"/>
      <c r="H15" s="132">
        <f>[2]!CSP1011P200F2100</f>
        <v>0</v>
      </c>
      <c r="I15" s="132">
        <f>SUM(F15:G15)</f>
        <v>0</v>
      </c>
      <c r="J15" s="126" t="s">
        <v>433</v>
      </c>
      <c r="K15" s="74"/>
    </row>
    <row r="16" spans="1:11" ht="12.75" customHeight="1">
      <c r="A16" s="123"/>
      <c r="B16" s="107"/>
      <c r="C16" s="107" t="s">
        <v>281</v>
      </c>
      <c r="D16" s="107"/>
      <c r="E16" s="124">
        <v>7</v>
      </c>
      <c r="F16" s="130"/>
      <c r="G16" s="131"/>
      <c r="H16" s="132">
        <f>[2]!CSP1011P200F2200</f>
        <v>0</v>
      </c>
      <c r="I16" s="132">
        <f>SUM(F16:G16)</f>
        <v>0</v>
      </c>
      <c r="J16" s="126" t="s">
        <v>434</v>
      </c>
      <c r="K16" s="74"/>
    </row>
    <row r="17" spans="1:11" ht="12.75" customHeight="1">
      <c r="A17" s="117"/>
      <c r="B17" s="118" t="s">
        <v>410</v>
      </c>
      <c r="C17" s="118"/>
      <c r="D17" s="118"/>
      <c r="E17" s="127">
        <v>8</v>
      </c>
      <c r="F17" s="133">
        <f>SUM(F13:F16)</f>
        <v>0</v>
      </c>
      <c r="G17" s="133">
        <f>SUM(G13:G16)</f>
        <v>0</v>
      </c>
      <c r="H17" s="132">
        <f>SUM(H13:H16)</f>
        <v>0</v>
      </c>
      <c r="I17" s="132">
        <f>SUM(I13:I16)</f>
        <v>0</v>
      </c>
      <c r="J17" s="126" t="s">
        <v>436</v>
      </c>
      <c r="K17" s="74"/>
    </row>
    <row r="18" spans="1:10" ht="12.75" customHeight="1">
      <c r="A18" s="123"/>
      <c r="B18" s="107" t="s">
        <v>310</v>
      </c>
      <c r="C18" s="107"/>
      <c r="D18" s="134" t="s">
        <v>311</v>
      </c>
      <c r="E18" s="124"/>
      <c r="F18" s="352"/>
      <c r="G18" s="352"/>
      <c r="H18" s="588">
        <f>[2]!CSP1011POtherF1000</f>
        <v>0</v>
      </c>
      <c r="I18" s="587">
        <f>SUM(F19:G19)</f>
        <v>0</v>
      </c>
      <c r="J18" s="129"/>
    </row>
    <row r="19" spans="1:11" ht="12.75" customHeight="1">
      <c r="A19" s="123"/>
      <c r="B19" s="107"/>
      <c r="C19" s="107" t="s">
        <v>347</v>
      </c>
      <c r="D19" s="107"/>
      <c r="E19" s="124">
        <v>9</v>
      </c>
      <c r="F19" s="353"/>
      <c r="G19" s="137"/>
      <c r="H19" s="589"/>
      <c r="I19" s="589"/>
      <c r="J19" s="126" t="s">
        <v>437</v>
      </c>
      <c r="K19" s="74"/>
    </row>
    <row r="20" spans="1:11" ht="12.75" customHeight="1">
      <c r="A20" s="123"/>
      <c r="B20" s="107"/>
      <c r="C20" s="107" t="s">
        <v>408</v>
      </c>
      <c r="D20" s="107"/>
      <c r="E20" s="124">
        <v>10</v>
      </c>
      <c r="F20" s="130"/>
      <c r="G20" s="131"/>
      <c r="H20" s="132">
        <f>[2]!CSP1011POtherF2100</f>
        <v>0</v>
      </c>
      <c r="I20" s="132">
        <f>SUM(F20:G20)</f>
        <v>0</v>
      </c>
      <c r="J20" s="126" t="s">
        <v>438</v>
      </c>
      <c r="K20" s="74"/>
    </row>
    <row r="21" spans="1:11" ht="12.75" customHeight="1">
      <c r="A21" s="123"/>
      <c r="B21" s="107"/>
      <c r="C21" s="107" t="s">
        <v>281</v>
      </c>
      <c r="D21" s="107"/>
      <c r="E21" s="124">
        <v>11</v>
      </c>
      <c r="F21" s="130"/>
      <c r="G21" s="131"/>
      <c r="H21" s="132">
        <f>[2]!CSP1011POtherF2200</f>
        <v>0</v>
      </c>
      <c r="I21" s="132">
        <f>SUM(F21:G21)</f>
        <v>0</v>
      </c>
      <c r="J21" s="126" t="s">
        <v>439</v>
      </c>
      <c r="K21" s="74"/>
    </row>
    <row r="22" spans="1:11" ht="12.75" customHeight="1">
      <c r="A22" s="117"/>
      <c r="B22" s="118" t="s">
        <v>411</v>
      </c>
      <c r="C22" s="118"/>
      <c r="D22" s="118"/>
      <c r="E22" s="127">
        <v>12</v>
      </c>
      <c r="F22" s="133">
        <f>SUM(F18:F21)</f>
        <v>0</v>
      </c>
      <c r="G22" s="133">
        <f>SUM(G18:G21)</f>
        <v>0</v>
      </c>
      <c r="H22" s="132">
        <f>SUM(H18:H21)</f>
        <v>0</v>
      </c>
      <c r="I22" s="132">
        <f>SUM(I18:I21)</f>
        <v>0</v>
      </c>
      <c r="J22" s="126" t="s">
        <v>440</v>
      </c>
      <c r="K22" s="74"/>
    </row>
    <row r="23" spans="1:11" ht="12.75" customHeight="1">
      <c r="A23" s="117" t="s">
        <v>412</v>
      </c>
      <c r="B23" s="118"/>
      <c r="C23" s="118"/>
      <c r="D23" s="118"/>
      <c r="E23" s="135">
        <v>13</v>
      </c>
      <c r="F23" s="133">
        <f>F12+F17+F22</f>
        <v>14085</v>
      </c>
      <c r="G23" s="133">
        <f>G12+G17+G22</f>
        <v>6196</v>
      </c>
      <c r="H23" s="133">
        <f>H12+H17+H22</f>
        <v>18312</v>
      </c>
      <c r="I23" s="133">
        <f>I12+I17+I22</f>
        <v>20281</v>
      </c>
      <c r="J23" s="126" t="s">
        <v>442</v>
      </c>
      <c r="K23" s="74"/>
    </row>
    <row r="24" spans="1:11" ht="12" customHeight="1">
      <c r="A24" s="122" t="s">
        <v>413</v>
      </c>
      <c r="B24" s="107"/>
      <c r="C24" s="107"/>
      <c r="D24" s="107"/>
      <c r="E24" s="107"/>
      <c r="F24" s="341"/>
      <c r="G24" s="341"/>
      <c r="H24" s="587">
        <f>[2]!CSP1012P100F1000</f>
        <v>36624</v>
      </c>
      <c r="I24" s="588">
        <f>SUM(F26:G26)</f>
        <v>40561</v>
      </c>
      <c r="J24" s="126"/>
      <c r="K24" s="74"/>
    </row>
    <row r="25" spans="1:11" ht="12" customHeight="1">
      <c r="A25" s="123"/>
      <c r="B25" s="107" t="s">
        <v>458</v>
      </c>
      <c r="C25" s="107"/>
      <c r="D25" s="107"/>
      <c r="E25" s="124"/>
      <c r="F25" s="352"/>
      <c r="G25" s="352"/>
      <c r="H25" s="588"/>
      <c r="I25" s="588"/>
      <c r="J25" s="126"/>
      <c r="K25" s="74"/>
    </row>
    <row r="26" spans="1:11" ht="12.75">
      <c r="A26" s="123"/>
      <c r="B26" s="107"/>
      <c r="C26" s="107" t="s">
        <v>347</v>
      </c>
      <c r="D26" s="107"/>
      <c r="E26" s="124">
        <v>14</v>
      </c>
      <c r="F26" s="137">
        <v>28169</v>
      </c>
      <c r="G26" s="137">
        <v>12392</v>
      </c>
      <c r="H26" s="589"/>
      <c r="I26" s="589"/>
      <c r="J26" s="126" t="s">
        <v>443</v>
      </c>
      <c r="K26" s="74"/>
    </row>
    <row r="27" spans="1:11" ht="12" customHeight="1">
      <c r="A27" s="123"/>
      <c r="B27" s="107"/>
      <c r="C27" s="107" t="s">
        <v>408</v>
      </c>
      <c r="D27" s="107"/>
      <c r="E27" s="124">
        <v>15</v>
      </c>
      <c r="F27" s="137"/>
      <c r="G27" s="137"/>
      <c r="H27" s="132">
        <f>[2]!CSP1012P100F2100</f>
        <v>0</v>
      </c>
      <c r="I27" s="132">
        <f>SUM(F27:G27)</f>
        <v>0</v>
      </c>
      <c r="J27" s="126" t="s">
        <v>444</v>
      </c>
      <c r="K27" s="74"/>
    </row>
    <row r="28" spans="1:11" ht="12.75" customHeight="1">
      <c r="A28" s="123"/>
      <c r="B28" s="107"/>
      <c r="C28" s="107" t="s">
        <v>281</v>
      </c>
      <c r="D28" s="107"/>
      <c r="E28" s="124">
        <v>16</v>
      </c>
      <c r="F28" s="137"/>
      <c r="G28" s="137"/>
      <c r="H28" s="132">
        <f>[2]!CSP1012P100F2200</f>
        <v>0</v>
      </c>
      <c r="I28" s="132">
        <f>SUM(F28:G28)</f>
        <v>0</v>
      </c>
      <c r="J28" s="126" t="s">
        <v>445</v>
      </c>
      <c r="K28" s="74"/>
    </row>
    <row r="29" spans="1:10" ht="12.75">
      <c r="A29" s="117"/>
      <c r="B29" s="118" t="s">
        <v>414</v>
      </c>
      <c r="C29" s="118"/>
      <c r="D29" s="118"/>
      <c r="E29" s="127">
        <v>17</v>
      </c>
      <c r="F29" s="138">
        <f>SUM(F24:F28)</f>
        <v>28169</v>
      </c>
      <c r="G29" s="138">
        <f>SUM(G24:G28)</f>
        <v>12392</v>
      </c>
      <c r="H29" s="132">
        <f>SUM(H24:H28)</f>
        <v>36624</v>
      </c>
      <c r="I29" s="132">
        <f>SUM(I24:I28)</f>
        <v>40561</v>
      </c>
      <c r="J29" s="129" t="s">
        <v>446</v>
      </c>
    </row>
    <row r="30" spans="1:11" ht="12" customHeight="1">
      <c r="A30" s="123"/>
      <c r="B30" s="107" t="s">
        <v>464</v>
      </c>
      <c r="C30" s="107"/>
      <c r="D30" s="107"/>
      <c r="E30" s="124"/>
      <c r="F30" s="352"/>
      <c r="G30" s="352"/>
      <c r="H30" s="588">
        <f>[2]!CSP1012P200F1000</f>
        <v>0</v>
      </c>
      <c r="I30" s="587">
        <f>SUM(F31:G31)</f>
        <v>0</v>
      </c>
      <c r="J30" s="126"/>
      <c r="K30" s="74"/>
    </row>
    <row r="31" spans="1:11" ht="12" customHeight="1">
      <c r="A31" s="123"/>
      <c r="B31" s="107"/>
      <c r="C31" s="107" t="s">
        <v>347</v>
      </c>
      <c r="D31" s="107"/>
      <c r="E31" s="124">
        <v>18</v>
      </c>
      <c r="F31" s="353"/>
      <c r="G31" s="137"/>
      <c r="H31" s="589"/>
      <c r="I31" s="589"/>
      <c r="J31" s="126" t="s">
        <v>448</v>
      </c>
      <c r="K31" s="74"/>
    </row>
    <row r="32" spans="1:11" ht="12" customHeight="1">
      <c r="A32" s="123"/>
      <c r="B32" s="107"/>
      <c r="C32" s="107" t="s">
        <v>408</v>
      </c>
      <c r="D32" s="107"/>
      <c r="E32" s="124">
        <v>19</v>
      </c>
      <c r="F32" s="130"/>
      <c r="G32" s="131"/>
      <c r="H32" s="132">
        <f>[2]!CSP1012P200F2100</f>
        <v>0</v>
      </c>
      <c r="I32" s="132">
        <f>SUM(F32:G32)</f>
        <v>0</v>
      </c>
      <c r="J32" s="126" t="s">
        <v>449</v>
      </c>
      <c r="K32" s="74"/>
    </row>
    <row r="33" spans="1:11" ht="12" customHeight="1">
      <c r="A33" s="123"/>
      <c r="B33" s="107"/>
      <c r="C33" s="107" t="s">
        <v>281</v>
      </c>
      <c r="D33" s="107"/>
      <c r="E33" s="124">
        <v>20</v>
      </c>
      <c r="F33" s="130"/>
      <c r="G33" s="131"/>
      <c r="H33" s="132">
        <f>[2]!CSP1012P200F2200</f>
        <v>0</v>
      </c>
      <c r="I33" s="132">
        <f>SUM(F33:G33)</f>
        <v>0</v>
      </c>
      <c r="J33" s="126" t="s">
        <v>450</v>
      </c>
      <c r="K33" s="74"/>
    </row>
    <row r="34" spans="1:11" ht="12.75">
      <c r="A34" s="117"/>
      <c r="B34" s="118" t="s">
        <v>415</v>
      </c>
      <c r="C34" s="118"/>
      <c r="D34" s="118"/>
      <c r="E34" s="127">
        <v>21</v>
      </c>
      <c r="F34" s="133">
        <f>SUM(F30:F33)</f>
        <v>0</v>
      </c>
      <c r="G34" s="132">
        <f>SUM(G30:G33)</f>
        <v>0</v>
      </c>
      <c r="H34" s="132">
        <f>SUM(H30:H33)</f>
        <v>0</v>
      </c>
      <c r="I34" s="132">
        <f>SUM(I30:I33)</f>
        <v>0</v>
      </c>
      <c r="J34" s="126" t="s">
        <v>451</v>
      </c>
      <c r="K34" s="74"/>
    </row>
    <row r="35" spans="1:10" ht="12" customHeight="1">
      <c r="A35" s="123"/>
      <c r="B35" s="107" t="s">
        <v>310</v>
      </c>
      <c r="C35" s="107"/>
      <c r="D35" s="134" t="s">
        <v>311</v>
      </c>
      <c r="E35" s="124"/>
      <c r="F35" s="352"/>
      <c r="G35" s="352"/>
      <c r="H35" s="588">
        <f>[2]!CSP1012POtherF1000</f>
        <v>0</v>
      </c>
      <c r="I35" s="587">
        <f>SUM(F36:G36)</f>
        <v>0</v>
      </c>
      <c r="J35" s="129"/>
    </row>
    <row r="36" spans="1:11" ht="12" customHeight="1">
      <c r="A36" s="123"/>
      <c r="B36" s="107"/>
      <c r="C36" s="107" t="s">
        <v>347</v>
      </c>
      <c r="D36" s="107"/>
      <c r="E36" s="124">
        <v>22</v>
      </c>
      <c r="F36" s="340"/>
      <c r="G36" s="137"/>
      <c r="H36" s="589"/>
      <c r="I36" s="589"/>
      <c r="J36" s="126" t="s">
        <v>452</v>
      </c>
      <c r="K36" s="74"/>
    </row>
    <row r="37" spans="1:11" ht="12" customHeight="1">
      <c r="A37" s="123"/>
      <c r="B37" s="107"/>
      <c r="C37" s="107" t="s">
        <v>408</v>
      </c>
      <c r="D37" s="107"/>
      <c r="E37" s="124">
        <v>23</v>
      </c>
      <c r="F37" s="130"/>
      <c r="G37" s="131"/>
      <c r="H37" s="132">
        <f>[2]!CSP1012POtherF2100</f>
        <v>0</v>
      </c>
      <c r="I37" s="132">
        <f>SUM(F37:G37)</f>
        <v>0</v>
      </c>
      <c r="J37" s="126" t="s">
        <v>453</v>
      </c>
      <c r="K37" s="74"/>
    </row>
    <row r="38" spans="1:11" ht="12" customHeight="1">
      <c r="A38" s="123"/>
      <c r="B38" s="107"/>
      <c r="C38" s="107" t="s">
        <v>281</v>
      </c>
      <c r="D38" s="107"/>
      <c r="E38" s="124">
        <v>24</v>
      </c>
      <c r="F38" s="130"/>
      <c r="G38" s="131"/>
      <c r="H38" s="132">
        <f>[2]!CSP1012POtherF2200</f>
        <v>0</v>
      </c>
      <c r="I38" s="132">
        <f>SUM(F38:G38)</f>
        <v>0</v>
      </c>
      <c r="J38" s="126" t="s">
        <v>454</v>
      </c>
      <c r="K38" s="74"/>
    </row>
    <row r="39" spans="1:11" ht="12" customHeight="1">
      <c r="A39" s="117"/>
      <c r="B39" s="118" t="s">
        <v>416</v>
      </c>
      <c r="C39" s="118"/>
      <c r="D39" s="118"/>
      <c r="E39" s="127">
        <v>25</v>
      </c>
      <c r="F39" s="133">
        <f>SUM(F35:F38)</f>
        <v>0</v>
      </c>
      <c r="G39" s="132">
        <f>SUM(G35:G38)</f>
        <v>0</v>
      </c>
      <c r="H39" s="132">
        <f>SUM(H35:H38)</f>
        <v>0</v>
      </c>
      <c r="I39" s="132">
        <f>SUM(I35:I38)</f>
        <v>0</v>
      </c>
      <c r="J39" s="126" t="s">
        <v>499</v>
      </c>
      <c r="K39" s="74"/>
    </row>
    <row r="40" spans="1:11" ht="12" customHeight="1">
      <c r="A40" s="117" t="s">
        <v>417</v>
      </c>
      <c r="B40" s="118"/>
      <c r="C40" s="118"/>
      <c r="D40" s="118"/>
      <c r="E40" s="135">
        <v>26</v>
      </c>
      <c r="F40" s="139">
        <f>F29+F34+F39</f>
        <v>28169</v>
      </c>
      <c r="G40" s="139">
        <f>G29+G34+G39</f>
        <v>12392</v>
      </c>
      <c r="H40" s="139">
        <f>H29+H34+H39</f>
        <v>36624</v>
      </c>
      <c r="I40" s="139">
        <f>I29+I34+I39</f>
        <v>40561</v>
      </c>
      <c r="J40" s="126" t="s">
        <v>500</v>
      </c>
      <c r="K40" s="74"/>
    </row>
    <row r="41" spans="1:13" ht="12" customHeight="1">
      <c r="A41" s="107"/>
      <c r="B41" s="107"/>
      <c r="C41" s="107"/>
      <c r="D41" s="107"/>
      <c r="E41" s="136"/>
      <c r="F41" s="140"/>
      <c r="G41" s="140"/>
      <c r="H41" s="140"/>
      <c r="I41" s="140"/>
      <c r="K41" s="140"/>
      <c r="L41" s="141"/>
      <c r="M41" s="142"/>
    </row>
    <row r="42" spans="1:13" ht="12" customHeight="1">
      <c r="A42" s="107"/>
      <c r="B42" s="107"/>
      <c r="C42" s="107"/>
      <c r="D42" s="107"/>
      <c r="E42" s="136"/>
      <c r="F42" s="140"/>
      <c r="G42" s="140"/>
      <c r="H42" s="140"/>
      <c r="I42" s="140"/>
      <c r="K42" s="140"/>
      <c r="L42" s="141"/>
      <c r="M42" s="142"/>
    </row>
    <row r="43" spans="1:12" ht="12.75" customHeight="1">
      <c r="A43" s="107"/>
      <c r="B43" s="107"/>
      <c r="C43" s="107"/>
      <c r="D43" s="107"/>
      <c r="E43" s="136"/>
      <c r="F43" s="140"/>
      <c r="G43" s="140"/>
      <c r="H43" s="140"/>
      <c r="I43" s="140"/>
      <c r="J43" s="140"/>
      <c r="K43" s="141"/>
      <c r="L43" s="143"/>
    </row>
    <row r="48" ht="12.75" customHeight="1">
      <c r="A48" s="144">
        <v>1</v>
      </c>
    </row>
    <row r="50" ht="12.75" customHeight="1">
      <c r="C50" s="144"/>
    </row>
  </sheetData>
  <sheetProtection sheet="1" formatCells="0" formatColumns="0" formatRows="0"/>
  <mergeCells count="13">
    <mergeCell ref="H7:H9"/>
    <mergeCell ref="H35:H36"/>
    <mergeCell ref="H24:H26"/>
    <mergeCell ref="H4:I4"/>
    <mergeCell ref="I7:I9"/>
    <mergeCell ref="I13:I14"/>
    <mergeCell ref="I18:I19"/>
    <mergeCell ref="H13:H14"/>
    <mergeCell ref="I35:I36"/>
    <mergeCell ref="I24:I26"/>
    <mergeCell ref="H30:H31"/>
    <mergeCell ref="I30:I31"/>
    <mergeCell ref="H18:H19"/>
  </mergeCells>
  <printOptions horizontalCentered="1"/>
  <pageMargins left="1" right="0.25" top="0.5" bottom="0.25" header="0.5" footer="0.15"/>
  <pageSetup horizontalDpi="300" verticalDpi="300" orientation="landscape" paperSize="5"/>
  <headerFooter alignWithMargins="0">
    <oddFooter>&amp;LRev. 8/18&amp;CFY 2018&amp;RPage 3 of 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showGridLines="0" workbookViewId="0" topLeftCell="A1">
      <selection activeCell="J38" sqref="J38"/>
    </sheetView>
  </sheetViews>
  <sheetFormatPr defaultColWidth="8.83203125" defaultRowHeight="12.75"/>
  <cols>
    <col min="1" max="1" width="1.83203125" style="3" customWidth="1"/>
    <col min="2" max="2" width="2" style="3" customWidth="1"/>
    <col min="3" max="3" width="19.5" style="3" customWidth="1"/>
    <col min="4" max="4" width="29.33203125" style="3" customWidth="1"/>
    <col min="5" max="5" width="3.66015625" style="3" bestFit="1" customWidth="1"/>
    <col min="6" max="6" width="17.33203125" style="3" customWidth="1"/>
    <col min="7" max="7" width="18" style="3" customWidth="1"/>
    <col min="8" max="11" width="17.33203125" style="3" customWidth="1"/>
    <col min="12" max="12" width="3.66015625" style="3" bestFit="1" customWidth="1"/>
    <col min="13" max="16384" width="8.83203125" style="3" customWidth="1"/>
  </cols>
  <sheetData>
    <row r="1" spans="1:12" ht="12">
      <c r="A1" s="98" t="s">
        <v>422</v>
      </c>
      <c r="B1" s="99"/>
      <c r="C1" s="99"/>
      <c r="D1" s="592" t="str">
        <f>'Cover Page'!D1</f>
        <v>George Gervin Youth Center, Inc. </v>
      </c>
      <c r="E1" s="592"/>
      <c r="F1" s="104"/>
      <c r="G1" s="103" t="s">
        <v>402</v>
      </c>
      <c r="H1" s="100" t="str">
        <f>'Cover Page'!M1</f>
        <v>Maricopa</v>
      </c>
      <c r="J1" s="103" t="s">
        <v>399</v>
      </c>
      <c r="K1" s="596" t="str">
        <f>'Cover Page'!R1</f>
        <v>078585000</v>
      </c>
      <c r="L1" s="596"/>
    </row>
    <row r="2" spans="1:12" ht="12">
      <c r="A2" s="106"/>
      <c r="B2" s="106"/>
      <c r="C2" s="106"/>
      <c r="D2" s="106"/>
      <c r="E2" s="106"/>
      <c r="F2" s="106"/>
      <c r="G2" s="106"/>
      <c r="H2" s="106"/>
      <c r="I2" s="106"/>
      <c r="J2" s="107"/>
      <c r="K2" s="107"/>
      <c r="L2" s="107"/>
    </row>
    <row r="3" spans="1:12" ht="12">
      <c r="A3" s="106"/>
      <c r="B3" s="106"/>
      <c r="C3" s="106"/>
      <c r="D3" s="106"/>
      <c r="E3" s="106"/>
      <c r="F3" s="106"/>
      <c r="G3" s="106"/>
      <c r="H3" s="106"/>
      <c r="I3" s="106"/>
      <c r="J3" s="107"/>
      <c r="K3" s="107"/>
      <c r="L3" s="107"/>
    </row>
    <row r="4" spans="1:12" ht="12">
      <c r="A4" s="590"/>
      <c r="B4" s="590"/>
      <c r="C4" s="590"/>
      <c r="D4" s="590"/>
      <c r="E4" s="590"/>
      <c r="F4" s="590"/>
      <c r="G4" s="590"/>
      <c r="H4" s="590"/>
      <c r="I4" s="591"/>
      <c r="J4" s="591"/>
      <c r="K4" s="591"/>
      <c r="L4" s="107"/>
    </row>
    <row r="5" spans="1:12" ht="12">
      <c r="A5" s="145"/>
      <c r="B5" s="146"/>
      <c r="C5" s="146"/>
      <c r="D5" s="146"/>
      <c r="E5" s="147"/>
      <c r="F5" s="148"/>
      <c r="G5" s="148"/>
      <c r="H5" s="593" t="s">
        <v>418</v>
      </c>
      <c r="I5" s="148"/>
      <c r="J5" s="585" t="s">
        <v>404</v>
      </c>
      <c r="K5" s="586"/>
      <c r="L5" s="99"/>
    </row>
    <row r="6" spans="1:12" ht="12">
      <c r="A6" s="113" t="s">
        <v>374</v>
      </c>
      <c r="B6" s="107"/>
      <c r="C6" s="107"/>
      <c r="D6" s="107"/>
      <c r="E6" s="114"/>
      <c r="F6" s="115" t="s">
        <v>405</v>
      </c>
      <c r="G6" s="115" t="s">
        <v>419</v>
      </c>
      <c r="H6" s="594"/>
      <c r="I6" s="115" t="s">
        <v>420</v>
      </c>
      <c r="J6" s="115"/>
      <c r="K6" s="115"/>
      <c r="L6" s="99"/>
    </row>
    <row r="7" spans="1:12" ht="12">
      <c r="A7" s="117"/>
      <c r="B7" s="118"/>
      <c r="C7" s="118"/>
      <c r="D7" s="118"/>
      <c r="E7" s="119"/>
      <c r="F7" s="120">
        <v>6100</v>
      </c>
      <c r="G7" s="120">
        <v>6200</v>
      </c>
      <c r="H7" s="595"/>
      <c r="I7" s="120">
        <v>6600</v>
      </c>
      <c r="J7" s="120" t="s">
        <v>308</v>
      </c>
      <c r="K7" s="120" t="s">
        <v>309</v>
      </c>
      <c r="L7" s="99"/>
    </row>
    <row r="8" spans="1:12" ht="12">
      <c r="A8" s="122" t="s">
        <v>421</v>
      </c>
      <c r="B8" s="107"/>
      <c r="C8" s="107"/>
      <c r="D8" s="107"/>
      <c r="E8" s="136"/>
      <c r="F8" s="342"/>
      <c r="G8" s="342"/>
      <c r="H8" s="342"/>
      <c r="I8" s="342"/>
      <c r="J8" s="597">
        <f>[2]!CSP1013P100F1000</f>
        <v>36624</v>
      </c>
      <c r="K8" s="602">
        <f>SUM(F10:I10)</f>
        <v>40561</v>
      </c>
      <c r="L8" s="143"/>
    </row>
    <row r="9" spans="1:12" ht="12">
      <c r="A9" s="123"/>
      <c r="B9" s="107" t="s">
        <v>458</v>
      </c>
      <c r="C9" s="107"/>
      <c r="D9" s="107"/>
      <c r="E9" s="107"/>
      <c r="F9" s="355"/>
      <c r="G9" s="355"/>
      <c r="H9" s="355"/>
      <c r="I9" s="355"/>
      <c r="J9" s="598"/>
      <c r="K9" s="603"/>
      <c r="L9" s="123"/>
    </row>
    <row r="10" spans="1:12" ht="12">
      <c r="A10" s="123"/>
      <c r="B10" s="107"/>
      <c r="C10" s="107" t="s">
        <v>347</v>
      </c>
      <c r="D10" s="107"/>
      <c r="E10" s="124">
        <v>1</v>
      </c>
      <c r="F10" s="354">
        <v>28169</v>
      </c>
      <c r="G10" s="354">
        <v>12392</v>
      </c>
      <c r="H10" s="354"/>
      <c r="I10" s="354"/>
      <c r="J10" s="599"/>
      <c r="K10" s="604"/>
      <c r="L10" s="150">
        <v>1</v>
      </c>
    </row>
    <row r="11" spans="1:12" ht="12">
      <c r="A11" s="232"/>
      <c r="B11" s="230"/>
      <c r="C11" s="230" t="s">
        <v>408</v>
      </c>
      <c r="D11" s="107"/>
      <c r="E11" s="124">
        <v>2</v>
      </c>
      <c r="F11" s="152"/>
      <c r="G11" s="152"/>
      <c r="H11" s="152"/>
      <c r="I11" s="152"/>
      <c r="J11" s="154">
        <f>[2]!CSP1013P100F2100</f>
        <v>0</v>
      </c>
      <c r="K11" s="149">
        <f>SUM(F11:I11)</f>
        <v>0</v>
      </c>
      <c r="L11" s="150">
        <v>2</v>
      </c>
    </row>
    <row r="12" spans="1:12" ht="12">
      <c r="A12" s="232"/>
      <c r="B12" s="230"/>
      <c r="C12" s="230" t="s">
        <v>281</v>
      </c>
      <c r="D12" s="107"/>
      <c r="E12" s="124">
        <v>3</v>
      </c>
      <c r="F12" s="152"/>
      <c r="G12" s="152"/>
      <c r="H12" s="152"/>
      <c r="I12" s="152"/>
      <c r="J12" s="184">
        <f>[2]!CSP1013P100F2200</f>
        <v>0</v>
      </c>
      <c r="K12" s="149">
        <f>SUM(F12:I12)</f>
        <v>0</v>
      </c>
      <c r="L12" s="150">
        <v>3</v>
      </c>
    </row>
    <row r="13" spans="1:12" s="47" customFormat="1" ht="12">
      <c r="A13" s="232"/>
      <c r="B13" s="231" t="s">
        <v>409</v>
      </c>
      <c r="C13" s="231"/>
      <c r="D13" s="231"/>
      <c r="E13" s="421">
        <v>4</v>
      </c>
      <c r="F13" s="154">
        <f aca="true" t="shared" si="0" ref="F13:K13">SUM(F8:F12)</f>
        <v>28169</v>
      </c>
      <c r="G13" s="154">
        <f t="shared" si="0"/>
        <v>12392</v>
      </c>
      <c r="H13" s="154">
        <f t="shared" si="0"/>
        <v>0</v>
      </c>
      <c r="I13" s="154">
        <f t="shared" si="0"/>
        <v>0</v>
      </c>
      <c r="J13" s="154">
        <f t="shared" si="0"/>
        <v>36624</v>
      </c>
      <c r="K13" s="154">
        <f t="shared" si="0"/>
        <v>40561</v>
      </c>
      <c r="L13" s="214">
        <v>4</v>
      </c>
    </row>
    <row r="14" spans="1:12" ht="12">
      <c r="A14" s="145"/>
      <c r="B14" s="230" t="s">
        <v>464</v>
      </c>
      <c r="C14" s="230"/>
      <c r="D14" s="107"/>
      <c r="E14" s="124"/>
      <c r="F14" s="341"/>
      <c r="G14" s="341"/>
      <c r="H14" s="341"/>
      <c r="I14" s="341"/>
      <c r="J14" s="597">
        <f>[2]!CSP1013P200F1000</f>
        <v>0</v>
      </c>
      <c r="K14" s="602">
        <f>SUM(F15:I15)</f>
        <v>0</v>
      </c>
      <c r="L14" s="150"/>
    </row>
    <row r="15" spans="1:12" ht="12">
      <c r="A15" s="232"/>
      <c r="B15" s="230"/>
      <c r="C15" s="230" t="s">
        <v>347</v>
      </c>
      <c r="D15" s="107"/>
      <c r="E15" s="124">
        <v>5</v>
      </c>
      <c r="F15" s="125"/>
      <c r="G15" s="125"/>
      <c r="H15" s="125"/>
      <c r="I15" s="125"/>
      <c r="J15" s="599"/>
      <c r="K15" s="604"/>
      <c r="L15" s="150">
        <v>5</v>
      </c>
    </row>
    <row r="16" spans="1:12" ht="12">
      <c r="A16" s="232"/>
      <c r="B16" s="230"/>
      <c r="C16" s="230" t="s">
        <v>408</v>
      </c>
      <c r="D16" s="107"/>
      <c r="E16" s="155">
        <v>6</v>
      </c>
      <c r="F16" s="152"/>
      <c r="G16" s="152"/>
      <c r="H16" s="152"/>
      <c r="I16" s="152"/>
      <c r="J16" s="184">
        <f>[2]!CSP1013P200F2100</f>
        <v>0</v>
      </c>
      <c r="K16" s="149">
        <f>SUM(F16:I16)</f>
        <v>0</v>
      </c>
      <c r="L16" s="150">
        <v>6</v>
      </c>
    </row>
    <row r="17" spans="1:12" ht="12">
      <c r="A17" s="232"/>
      <c r="B17" s="230"/>
      <c r="C17" s="230" t="s">
        <v>281</v>
      </c>
      <c r="D17" s="107"/>
      <c r="E17" s="155">
        <v>7</v>
      </c>
      <c r="F17" s="152"/>
      <c r="G17" s="152"/>
      <c r="H17" s="152"/>
      <c r="I17" s="152"/>
      <c r="J17" s="184">
        <f>[2]!CSP1013P200F2200</f>
        <v>0</v>
      </c>
      <c r="K17" s="149">
        <f>SUM(F17:I17)</f>
        <v>0</v>
      </c>
      <c r="L17" s="150">
        <v>7</v>
      </c>
    </row>
    <row r="18" spans="1:12" s="47" customFormat="1" ht="12">
      <c r="A18" s="232"/>
      <c r="B18" s="231" t="s">
        <v>410</v>
      </c>
      <c r="C18" s="231"/>
      <c r="D18" s="231"/>
      <c r="E18" s="421">
        <v>8</v>
      </c>
      <c r="F18" s="154">
        <f>SUM(F14:F17)</f>
        <v>0</v>
      </c>
      <c r="G18" s="154">
        <f>SUM(G14:G17)</f>
        <v>0</v>
      </c>
      <c r="H18" s="154">
        <f>SUM(H14:H17)</f>
        <v>0</v>
      </c>
      <c r="I18" s="154">
        <f>SUM(I14:I17)</f>
        <v>0</v>
      </c>
      <c r="J18" s="154">
        <f>SUM(J14:J17)</f>
        <v>0</v>
      </c>
      <c r="K18" s="154">
        <f>SUM(F18:I18)</f>
        <v>0</v>
      </c>
      <c r="L18" s="214">
        <v>8</v>
      </c>
    </row>
    <row r="19" spans="1:12" ht="12">
      <c r="A19" s="422"/>
      <c r="B19" s="146" t="s">
        <v>471</v>
      </c>
      <c r="C19" s="146"/>
      <c r="D19" s="146"/>
      <c r="E19" s="605">
        <v>9</v>
      </c>
      <c r="F19" s="341"/>
      <c r="G19" s="341"/>
      <c r="H19" s="341"/>
      <c r="I19" s="341"/>
      <c r="J19" s="616">
        <f>[2]!CSP1013P530F1000</f>
        <v>0</v>
      </c>
      <c r="K19" s="600">
        <f>SUM(F20:I20)</f>
        <v>0</v>
      </c>
      <c r="L19" s="150"/>
    </row>
    <row r="20" spans="1:12" ht="12">
      <c r="A20" s="123"/>
      <c r="B20" s="118"/>
      <c r="C20" s="118" t="s">
        <v>347</v>
      </c>
      <c r="D20" s="118"/>
      <c r="E20" s="606"/>
      <c r="F20" s="125"/>
      <c r="G20" s="125"/>
      <c r="H20" s="125"/>
      <c r="I20" s="125"/>
      <c r="J20" s="617"/>
      <c r="K20" s="601"/>
      <c r="L20" s="150">
        <v>9</v>
      </c>
    </row>
    <row r="21" spans="1:12" ht="12">
      <c r="A21" s="422"/>
      <c r="B21" s="107" t="s">
        <v>310</v>
      </c>
      <c r="C21" s="107"/>
      <c r="D21" s="227"/>
      <c r="E21" s="183"/>
      <c r="F21" s="341"/>
      <c r="G21" s="341"/>
      <c r="H21" s="341"/>
      <c r="I21" s="341"/>
      <c r="J21" s="616">
        <f>[2]!CSP1013POtherF1000</f>
        <v>0</v>
      </c>
      <c r="K21" s="600">
        <f>SUM(F22:I22)</f>
        <v>0</v>
      </c>
      <c r="L21" s="150"/>
    </row>
    <row r="22" spans="1:12" ht="12">
      <c r="A22" s="123"/>
      <c r="B22" s="107"/>
      <c r="C22" s="107" t="s">
        <v>347</v>
      </c>
      <c r="D22" s="107"/>
      <c r="E22" s="155">
        <v>10</v>
      </c>
      <c r="F22" s="125"/>
      <c r="G22" s="125"/>
      <c r="H22" s="125"/>
      <c r="I22" s="125"/>
      <c r="J22" s="617"/>
      <c r="K22" s="601"/>
      <c r="L22" s="150">
        <v>10</v>
      </c>
    </row>
    <row r="23" spans="1:12" ht="12">
      <c r="A23" s="123"/>
      <c r="B23" s="107"/>
      <c r="C23" s="107" t="s">
        <v>294</v>
      </c>
      <c r="D23" s="107"/>
      <c r="E23" s="155">
        <v>11</v>
      </c>
      <c r="F23" s="195"/>
      <c r="G23" s="194"/>
      <c r="H23" s="194"/>
      <c r="I23" s="194"/>
      <c r="J23" s="184">
        <f>[2]!CSP1013POtherF21002200</f>
        <v>0</v>
      </c>
      <c r="K23" s="128">
        <f>SUM(F23:I23)</f>
        <v>0</v>
      </c>
      <c r="L23" s="150">
        <v>11</v>
      </c>
    </row>
    <row r="24" spans="1:12" s="47" customFormat="1" ht="12">
      <c r="A24" s="233"/>
      <c r="B24" s="231" t="s">
        <v>330</v>
      </c>
      <c r="C24" s="231"/>
      <c r="D24" s="231"/>
      <c r="E24" s="135">
        <v>12</v>
      </c>
      <c r="F24" s="384">
        <f>SUM(F21:F23)</f>
        <v>0</v>
      </c>
      <c r="G24" s="384">
        <f>SUM(G21:G23)</f>
        <v>0</v>
      </c>
      <c r="H24" s="384">
        <f>SUM(H21:H23)</f>
        <v>0</v>
      </c>
      <c r="I24" s="384">
        <f>SUM(I21:I23)</f>
        <v>0</v>
      </c>
      <c r="J24" s="154">
        <f>SUM(J21:J23)</f>
        <v>0</v>
      </c>
      <c r="K24" s="383">
        <f>SUM(F24:I24)</f>
        <v>0</v>
      </c>
      <c r="L24" s="214">
        <v>12</v>
      </c>
    </row>
    <row r="25" spans="1:12" ht="12">
      <c r="A25" s="117" t="s">
        <v>331</v>
      </c>
      <c r="B25" s="156"/>
      <c r="C25" s="118"/>
      <c r="D25" s="118"/>
      <c r="E25" s="127">
        <v>13</v>
      </c>
      <c r="F25" s="154">
        <f>+F13+F18+F20+F24</f>
        <v>28169</v>
      </c>
      <c r="G25" s="154">
        <f>+G13+G18+G20+G24</f>
        <v>12392</v>
      </c>
      <c r="H25" s="154">
        <f>+H13+H18+H20+H24</f>
        <v>0</v>
      </c>
      <c r="I25" s="154">
        <f>+I13+I18+I20+I24</f>
        <v>0</v>
      </c>
      <c r="J25" s="154">
        <f>J13+J18+J19+J24</f>
        <v>36624</v>
      </c>
      <c r="K25" s="154">
        <f>+K13+K18+K19+K24</f>
        <v>40561</v>
      </c>
      <c r="L25" s="150">
        <v>13</v>
      </c>
    </row>
    <row r="26" spans="1:13" ht="12">
      <c r="A26" s="614" t="s">
        <v>352</v>
      </c>
      <c r="B26" s="615"/>
      <c r="C26" s="615"/>
      <c r="D26" s="615"/>
      <c r="E26" s="127">
        <v>14</v>
      </c>
      <c r="F26" s="154">
        <f>CSP1011O6100+CSP1012O6100+CSP1013O6100</f>
        <v>70423</v>
      </c>
      <c r="G26" s="154">
        <f>CSP1011O6200+CSP1012O6200+CSP1013O6200</f>
        <v>30980</v>
      </c>
      <c r="H26" s="154">
        <f>CSP1013O630064006500</f>
        <v>0</v>
      </c>
      <c r="I26" s="154">
        <f>CSP1013O6600</f>
        <v>0</v>
      </c>
      <c r="J26" s="154">
        <f>CSP1011Budg+CSP1012Budg+CSP1013Budg</f>
        <v>91560</v>
      </c>
      <c r="K26" s="154">
        <f>CSP1011Act+CSP1012Act+CSP1013Act</f>
        <v>101403</v>
      </c>
      <c r="L26" s="214">
        <v>14</v>
      </c>
      <c r="M26" s="3">
        <f>IF(TotalCSPAct&lt;=0,"The School is reporting zero expenditures in the Classroom Site Project.","")</f>
      </c>
    </row>
    <row r="27" spans="1:9" ht="26.25" customHeight="1">
      <c r="A27" s="160"/>
      <c r="B27" s="160"/>
      <c r="C27" s="160"/>
      <c r="D27" s="160"/>
      <c r="E27" s="160"/>
      <c r="F27" s="160"/>
      <c r="G27" s="160"/>
      <c r="H27" s="160"/>
      <c r="I27" s="160"/>
    </row>
    <row r="28" spans="1:12" ht="12">
      <c r="A28" s="607" t="s">
        <v>320</v>
      </c>
      <c r="B28" s="608"/>
      <c r="C28" s="608"/>
      <c r="D28" s="608"/>
      <c r="E28" s="609"/>
      <c r="F28" s="174" t="s">
        <v>322</v>
      </c>
      <c r="G28" s="175"/>
      <c r="H28" s="176"/>
      <c r="I28" s="36"/>
      <c r="J28" s="2"/>
      <c r="K28" s="2"/>
      <c r="L28" s="22"/>
    </row>
    <row r="29" spans="1:12" ht="12">
      <c r="A29" s="610"/>
      <c r="B29" s="611"/>
      <c r="C29" s="611"/>
      <c r="D29" s="611"/>
      <c r="E29" s="611"/>
      <c r="F29" s="177"/>
      <c r="G29" s="178" t="s">
        <v>187</v>
      </c>
      <c r="H29" s="177"/>
      <c r="I29" s="36"/>
      <c r="J29" s="2"/>
      <c r="K29" s="2"/>
      <c r="L29" s="22"/>
    </row>
    <row r="30" spans="1:12" ht="12">
      <c r="A30" s="612"/>
      <c r="B30" s="613"/>
      <c r="C30" s="613"/>
      <c r="D30" s="613"/>
      <c r="E30" s="613"/>
      <c r="F30" s="32" t="s">
        <v>186</v>
      </c>
      <c r="G30" s="173" t="s">
        <v>323</v>
      </c>
      <c r="H30" s="32" t="s">
        <v>188</v>
      </c>
      <c r="I30" s="161"/>
      <c r="J30" s="22"/>
      <c r="K30" s="22"/>
      <c r="L30" s="22"/>
    </row>
    <row r="31" spans="1:12" ht="12">
      <c r="A31" s="162" t="s">
        <v>333</v>
      </c>
      <c r="B31" s="163"/>
      <c r="C31" s="163"/>
      <c r="D31" s="163"/>
      <c r="E31" s="166">
        <v>15</v>
      </c>
      <c r="F31" s="241">
        <f>[1]!CSP1011EndBal</f>
        <v>0</v>
      </c>
      <c r="G31" s="241">
        <f>[1]!CSP1012EndBal</f>
        <v>0</v>
      </c>
      <c r="H31" s="241">
        <f>[1]!CSP1013EndBal</f>
        <v>0</v>
      </c>
      <c r="I31" s="164">
        <v>15</v>
      </c>
      <c r="J31" s="2"/>
      <c r="K31" s="42"/>
      <c r="L31" s="42"/>
    </row>
    <row r="32" spans="1:12" ht="12">
      <c r="A32" s="165" t="s">
        <v>321</v>
      </c>
      <c r="B32" s="36"/>
      <c r="C32" s="36"/>
      <c r="D32" s="36"/>
      <c r="F32" s="343"/>
      <c r="G32" s="343"/>
      <c r="H32" s="343"/>
      <c r="I32" s="164"/>
      <c r="J32" s="2"/>
      <c r="K32" s="42"/>
      <c r="L32" s="42"/>
    </row>
    <row r="33" spans="1:12" ht="12">
      <c r="A33" s="165"/>
      <c r="B33" s="36" t="s">
        <v>325</v>
      </c>
      <c r="C33" s="36"/>
      <c r="D33" s="36"/>
      <c r="E33" s="166">
        <v>16</v>
      </c>
      <c r="F33" s="344">
        <v>20281</v>
      </c>
      <c r="G33" s="344">
        <v>40561</v>
      </c>
      <c r="H33" s="344">
        <v>40561</v>
      </c>
      <c r="I33" s="167">
        <v>16</v>
      </c>
      <c r="J33" s="2"/>
      <c r="K33" s="159"/>
      <c r="L33" s="42"/>
    </row>
    <row r="34" spans="1:9" ht="12">
      <c r="A34" s="165"/>
      <c r="B34" s="36" t="s">
        <v>319</v>
      </c>
      <c r="C34" s="36"/>
      <c r="D34" s="36"/>
      <c r="E34" s="166">
        <v>17</v>
      </c>
      <c r="F34" s="171"/>
      <c r="G34" s="171"/>
      <c r="H34" s="171"/>
      <c r="I34" s="167">
        <v>17</v>
      </c>
    </row>
    <row r="35" spans="1:9" ht="12">
      <c r="A35" s="165" t="s">
        <v>353</v>
      </c>
      <c r="B35" s="36"/>
      <c r="C35" s="36"/>
      <c r="D35" s="36"/>
      <c r="E35" s="166">
        <v>18</v>
      </c>
      <c r="F35" s="170">
        <f>F33+F34</f>
        <v>20281</v>
      </c>
      <c r="G35" s="170">
        <f>G33+G34</f>
        <v>40561</v>
      </c>
      <c r="H35" s="170">
        <f>H33+H34</f>
        <v>40561</v>
      </c>
      <c r="I35" s="167">
        <v>18</v>
      </c>
    </row>
    <row r="36" spans="1:9" ht="12">
      <c r="A36" s="168" t="s">
        <v>354</v>
      </c>
      <c r="B36" s="36"/>
      <c r="C36" s="36"/>
      <c r="D36" s="36"/>
      <c r="E36" s="166">
        <v>19</v>
      </c>
      <c r="F36" s="170">
        <f>F31+F35</f>
        <v>20281</v>
      </c>
      <c r="G36" s="170">
        <f>G31+G35</f>
        <v>40561</v>
      </c>
      <c r="H36" s="170">
        <f>H31+H35</f>
        <v>40561</v>
      </c>
      <c r="I36" s="167">
        <v>19</v>
      </c>
    </row>
    <row r="37" spans="1:9" ht="12">
      <c r="A37" s="168" t="s">
        <v>190</v>
      </c>
      <c r="B37" s="36"/>
      <c r="C37" s="36"/>
      <c r="D37" s="36"/>
      <c r="E37" s="166">
        <v>20</v>
      </c>
      <c r="F37" s="170">
        <f>CSP1011Act</f>
        <v>20281</v>
      </c>
      <c r="G37" s="170">
        <f>CSP1012Act</f>
        <v>40561</v>
      </c>
      <c r="H37" s="170">
        <f>CSP1013Act</f>
        <v>40561</v>
      </c>
      <c r="I37" s="167">
        <v>20</v>
      </c>
    </row>
    <row r="38" spans="1:9" ht="12">
      <c r="A38" s="169" t="s">
        <v>258</v>
      </c>
      <c r="B38" s="158"/>
      <c r="C38" s="158"/>
      <c r="D38" s="158"/>
      <c r="E38" s="215">
        <v>21</v>
      </c>
      <c r="F38" s="170">
        <f>F36-F37</f>
        <v>0</v>
      </c>
      <c r="G38" s="170">
        <f>G36-G37</f>
        <v>0</v>
      </c>
      <c r="H38" s="170">
        <f>H36-H37</f>
        <v>0</v>
      </c>
      <c r="I38" s="167">
        <v>21</v>
      </c>
    </row>
    <row r="39" spans="1:9" ht="12">
      <c r="A39" s="36"/>
      <c r="B39" s="36"/>
      <c r="C39" s="36"/>
      <c r="D39" s="36"/>
      <c r="E39" s="36"/>
      <c r="F39" s="160"/>
      <c r="G39" s="160"/>
      <c r="H39" s="160"/>
      <c r="I39" s="160"/>
    </row>
    <row r="40" spans="1:9" ht="12">
      <c r="A40" s="36"/>
      <c r="B40" s="36"/>
      <c r="C40" s="36"/>
      <c r="D40" s="36"/>
      <c r="E40" s="36"/>
      <c r="F40" s="160"/>
      <c r="G40" s="160"/>
      <c r="H40" s="160"/>
      <c r="I40" s="160"/>
    </row>
  </sheetData>
  <sheetProtection sheet="1" formatCells="0" formatColumns="0" formatRows="0"/>
  <mergeCells count="16">
    <mergeCell ref="K21:K22"/>
    <mergeCell ref="K8:K10"/>
    <mergeCell ref="E19:E20"/>
    <mergeCell ref="J14:J15"/>
    <mergeCell ref="K14:K15"/>
    <mergeCell ref="A28:E30"/>
    <mergeCell ref="A26:D26"/>
    <mergeCell ref="J19:J20"/>
    <mergeCell ref="K19:K20"/>
    <mergeCell ref="J21:J22"/>
    <mergeCell ref="A4:K4"/>
    <mergeCell ref="D1:E1"/>
    <mergeCell ref="H5:H7"/>
    <mergeCell ref="J5:K5"/>
    <mergeCell ref="K1:L1"/>
    <mergeCell ref="J8:J10"/>
  </mergeCells>
  <printOptions horizontalCentered="1"/>
  <pageMargins left="1" right="0.25" top="0.5" bottom="0.25" header="0.5" footer="0.15"/>
  <pageSetup fitToHeight="1" fitToWidth="1" horizontalDpi="600" verticalDpi="600" orientation="landscape" paperSize="5"/>
  <headerFooter alignWithMargins="0">
    <oddFooter>&amp;LRev. 8/18&amp;CFY 2018&amp;RPage 4 of 10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F17" sqref="F17"/>
    </sheetView>
  </sheetViews>
  <sheetFormatPr defaultColWidth="8.83203125" defaultRowHeight="12.75"/>
  <cols>
    <col min="1" max="1" width="1.83203125" style="3" customWidth="1"/>
    <col min="2" max="2" width="20.33203125" style="3" customWidth="1"/>
    <col min="3" max="3" width="15.5" style="3" customWidth="1"/>
    <col min="4" max="4" width="20.16015625" style="3" customWidth="1"/>
    <col min="5" max="5" width="3.33203125" style="3" customWidth="1"/>
    <col min="6" max="9" width="15.33203125" style="3" customWidth="1"/>
    <col min="10" max="10" width="2.33203125" style="3" customWidth="1"/>
    <col min="11" max="13" width="15.33203125" style="3" customWidth="1"/>
    <col min="14" max="16384" width="8.83203125" style="3" customWidth="1"/>
  </cols>
  <sheetData>
    <row r="1" spans="1:13" ht="12.75" customHeight="1">
      <c r="A1" s="98" t="s">
        <v>422</v>
      </c>
      <c r="B1" s="99"/>
      <c r="C1" s="592" t="str">
        <f>'Cover Page'!D1</f>
        <v>George Gervin Youth Center, Inc. </v>
      </c>
      <c r="D1" s="592"/>
      <c r="F1" s="104"/>
      <c r="G1" s="103" t="s">
        <v>402</v>
      </c>
      <c r="H1" s="592" t="str">
        <f>'Cover Page'!M1</f>
        <v>Maricopa</v>
      </c>
      <c r="I1" s="592"/>
      <c r="J1" s="104"/>
      <c r="K1" s="103"/>
      <c r="L1" s="103" t="s">
        <v>399</v>
      </c>
      <c r="M1" s="105" t="str">
        <f>'Cover Page'!R1</f>
        <v>078585000</v>
      </c>
    </row>
    <row r="2" spans="1:12" ht="12.75" customHeight="1">
      <c r="A2" s="104"/>
      <c r="B2" s="104"/>
      <c r="C2" s="104"/>
      <c r="D2" s="104"/>
      <c r="E2" s="104"/>
      <c r="F2" s="104"/>
      <c r="G2" s="104"/>
      <c r="H2" s="104"/>
      <c r="I2" s="104"/>
      <c r="J2" s="104"/>
      <c r="K2" s="107"/>
      <c r="L2" s="107"/>
    </row>
    <row r="3" spans="1:12" ht="12.75" customHeight="1">
      <c r="A3" s="145"/>
      <c r="B3" s="146"/>
      <c r="C3" s="146"/>
      <c r="D3" s="146"/>
      <c r="E3" s="146"/>
      <c r="F3" s="314" t="s">
        <v>425</v>
      </c>
      <c r="G3" s="148" t="s">
        <v>336</v>
      </c>
      <c r="H3" s="585" t="s">
        <v>404</v>
      </c>
      <c r="I3" s="586"/>
      <c r="J3" s="104"/>
      <c r="K3" s="99"/>
      <c r="L3" s="99"/>
    </row>
    <row r="4" spans="1:12" ht="12.75" customHeight="1">
      <c r="A4" s="113" t="s">
        <v>374</v>
      </c>
      <c r="B4" s="107"/>
      <c r="C4" s="107"/>
      <c r="D4" s="107"/>
      <c r="E4" s="107"/>
      <c r="F4" s="116" t="s">
        <v>334</v>
      </c>
      <c r="G4" s="115" t="s">
        <v>335</v>
      </c>
      <c r="H4" s="148"/>
      <c r="I4" s="196"/>
      <c r="J4" s="104"/>
      <c r="K4" s="99"/>
      <c r="L4" s="99"/>
    </row>
    <row r="5" spans="1:11" ht="12.75" customHeight="1">
      <c r="A5" s="117"/>
      <c r="B5" s="118"/>
      <c r="C5" s="118"/>
      <c r="D5" s="118"/>
      <c r="E5" s="118"/>
      <c r="F5" s="121">
        <v>1000</v>
      </c>
      <c r="G5" s="120">
        <v>2000</v>
      </c>
      <c r="H5" s="120" t="s">
        <v>308</v>
      </c>
      <c r="I5" s="197" t="s">
        <v>309</v>
      </c>
      <c r="J5" s="104"/>
      <c r="K5" s="99"/>
    </row>
    <row r="6" spans="1:11" ht="12.75" customHeight="1">
      <c r="A6" s="186" t="s">
        <v>332</v>
      </c>
      <c r="B6" s="146"/>
      <c r="C6" s="146"/>
      <c r="D6" s="146"/>
      <c r="E6" s="187"/>
      <c r="F6" s="342"/>
      <c r="G6" s="342"/>
      <c r="H6" s="618">
        <f>[2]!IIPTeacherCompensationIncreases</f>
        <v>0</v>
      </c>
      <c r="I6" s="618">
        <f>SUM(F7:G7)</f>
        <v>0</v>
      </c>
      <c r="J6" s="364"/>
      <c r="K6" s="99"/>
    </row>
    <row r="7" spans="1:11" ht="12.75" customHeight="1">
      <c r="A7" s="123"/>
      <c r="B7" s="107" t="s">
        <v>337</v>
      </c>
      <c r="C7" s="107"/>
      <c r="D7" s="107"/>
      <c r="E7" s="155">
        <v>1</v>
      </c>
      <c r="F7" s="354"/>
      <c r="G7" s="354"/>
      <c r="H7" s="619"/>
      <c r="I7" s="619"/>
      <c r="J7" s="185">
        <v>1</v>
      </c>
      <c r="K7" s="107"/>
    </row>
    <row r="8" spans="1:11" ht="12.75" customHeight="1">
      <c r="A8" s="123"/>
      <c r="B8" s="107" t="s">
        <v>338</v>
      </c>
      <c r="C8" s="107"/>
      <c r="D8" s="107"/>
      <c r="E8" s="155">
        <v>2</v>
      </c>
      <c r="F8" s="315">
        <v>8350</v>
      </c>
      <c r="G8" s="368"/>
      <c r="H8" s="154">
        <f>[2]!IIPClassSizeReduction</f>
        <v>0</v>
      </c>
      <c r="I8" s="149">
        <f>SUM(F8:G8)</f>
        <v>8350</v>
      </c>
      <c r="J8" s="185">
        <v>2</v>
      </c>
      <c r="K8" s="107"/>
    </row>
    <row r="9" spans="1:11" ht="12.75" customHeight="1">
      <c r="A9" s="123"/>
      <c r="B9" s="107" t="s">
        <v>246</v>
      </c>
      <c r="C9" s="107"/>
      <c r="D9" s="107"/>
      <c r="E9" s="155">
        <v>3</v>
      </c>
      <c r="F9" s="315"/>
      <c r="G9" s="193"/>
      <c r="H9" s="154">
        <f>[2]!IIPDropoutPreventionPrograms</f>
        <v>0</v>
      </c>
      <c r="I9" s="149">
        <f>SUM(F9:G9)</f>
        <v>0</v>
      </c>
      <c r="J9" s="185">
        <v>3</v>
      </c>
      <c r="K9" s="107"/>
    </row>
    <row r="10" spans="1:11" ht="12.75" customHeight="1">
      <c r="A10" s="123"/>
      <c r="B10" s="107" t="s">
        <v>247</v>
      </c>
      <c r="C10" s="107"/>
      <c r="D10" s="107"/>
      <c r="E10" s="155">
        <v>4</v>
      </c>
      <c r="F10" s="315"/>
      <c r="G10" s="193"/>
      <c r="H10" s="154">
        <f>[2]!IIPInstructionalImprovementPrograms</f>
        <v>10308</v>
      </c>
      <c r="I10" s="149">
        <f>SUM(F10:G10)</f>
        <v>0</v>
      </c>
      <c r="J10" s="185">
        <v>4</v>
      </c>
      <c r="K10" s="107"/>
    </row>
    <row r="11" spans="1:11" ht="12.75" customHeight="1">
      <c r="A11" s="117" t="s">
        <v>240</v>
      </c>
      <c r="B11" s="8"/>
      <c r="C11" s="118"/>
      <c r="D11" s="118"/>
      <c r="E11" s="153">
        <v>5</v>
      </c>
      <c r="F11" s="316">
        <f>SUM(F6:F10)</f>
        <v>8350</v>
      </c>
      <c r="G11" s="149">
        <f>SUM(G6:G10)</f>
        <v>0</v>
      </c>
      <c r="H11" s="149">
        <f>SUM(H6:H10)</f>
        <v>10308</v>
      </c>
      <c r="I11" s="149">
        <f>SUM(I6:I10)</f>
        <v>8350</v>
      </c>
      <c r="J11" s="185">
        <v>5</v>
      </c>
      <c r="K11" s="107"/>
    </row>
    <row r="12" spans="1:12" ht="12.75" customHeight="1">
      <c r="A12" s="160"/>
      <c r="B12" s="160"/>
      <c r="C12" s="160"/>
      <c r="D12" s="160"/>
      <c r="E12" s="160"/>
      <c r="F12" s="160"/>
      <c r="G12" s="160"/>
      <c r="H12" s="160"/>
      <c r="I12" s="160"/>
      <c r="J12" s="160"/>
      <c r="K12" s="101"/>
      <c r="L12" s="99"/>
    </row>
    <row r="13" spans="1:11" ht="12.75" customHeight="1">
      <c r="A13" s="162"/>
      <c r="B13" s="163"/>
      <c r="C13" s="163"/>
      <c r="D13" s="163"/>
      <c r="E13" s="199"/>
      <c r="F13" s="200"/>
      <c r="G13" s="160"/>
      <c r="H13" s="160"/>
      <c r="K13" s="99"/>
    </row>
    <row r="14" spans="1:11" ht="12.75" customHeight="1">
      <c r="A14" s="82" t="s">
        <v>351</v>
      </c>
      <c r="B14" s="158"/>
      <c r="C14" s="158"/>
      <c r="D14" s="158"/>
      <c r="E14" s="321"/>
      <c r="F14" s="317" t="s">
        <v>309</v>
      </c>
      <c r="G14" s="160"/>
      <c r="H14" s="160"/>
      <c r="K14" s="99"/>
    </row>
    <row r="15" spans="1:10" ht="12.75" customHeight="1">
      <c r="A15" s="312" t="s">
        <v>333</v>
      </c>
      <c r="B15" s="22"/>
      <c r="C15" s="2"/>
      <c r="D15" s="188"/>
      <c r="E15" s="216">
        <v>6</v>
      </c>
      <c r="F15" s="339">
        <f>[1]!AddlInstrImprProjEndBal</f>
        <v>0</v>
      </c>
      <c r="G15" s="185">
        <v>6</v>
      </c>
      <c r="I15" s="151"/>
      <c r="J15" s="151"/>
    </row>
    <row r="16" spans="1:10" ht="12.75" customHeight="1">
      <c r="A16" s="190" t="s">
        <v>321</v>
      </c>
      <c r="B16" s="42"/>
      <c r="C16" s="2"/>
      <c r="D16" s="188"/>
      <c r="E16" s="216">
        <v>7</v>
      </c>
      <c r="F16" s="318">
        <v>8350</v>
      </c>
      <c r="G16" s="185">
        <v>7</v>
      </c>
      <c r="I16" s="151"/>
      <c r="J16" s="151"/>
    </row>
    <row r="17" spans="1:10" ht="12.75" customHeight="1">
      <c r="A17" s="190" t="s">
        <v>339</v>
      </c>
      <c r="B17" s="42"/>
      <c r="C17" s="2"/>
      <c r="D17" s="188"/>
      <c r="E17" s="216">
        <v>8</v>
      </c>
      <c r="F17" s="319">
        <f>SUM(F15:F16)</f>
        <v>8350</v>
      </c>
      <c r="G17" s="185">
        <v>8</v>
      </c>
      <c r="I17" s="151"/>
      <c r="J17" s="151"/>
    </row>
    <row r="18" spans="1:10" ht="12.75" customHeight="1">
      <c r="A18" s="191" t="s">
        <v>225</v>
      </c>
      <c r="B18" s="2"/>
      <c r="C18" s="2"/>
      <c r="D18" s="188"/>
      <c r="E18" s="216">
        <v>9</v>
      </c>
      <c r="F18" s="320">
        <f>ActualTotalInstImpExp</f>
        <v>8350</v>
      </c>
      <c r="G18" s="185">
        <v>9</v>
      </c>
      <c r="I18" s="151"/>
      <c r="J18" s="151"/>
    </row>
    <row r="19" spans="1:7" ht="12.75" customHeight="1">
      <c r="A19" s="192" t="s">
        <v>340</v>
      </c>
      <c r="B19" s="158"/>
      <c r="C19" s="8"/>
      <c r="D19" s="189"/>
      <c r="E19" s="217">
        <v>10</v>
      </c>
      <c r="F19" s="320">
        <f>F17-F18</f>
        <v>0</v>
      </c>
      <c r="G19" s="185">
        <v>10</v>
      </c>
    </row>
    <row r="20" spans="1:8" ht="12.75" customHeight="1">
      <c r="A20" s="286"/>
      <c r="B20" s="36"/>
      <c r="C20" s="2"/>
      <c r="D20" s="188"/>
      <c r="E20" s="216"/>
      <c r="F20" s="287"/>
      <c r="G20" s="287"/>
      <c r="H20" s="185"/>
    </row>
    <row r="21" spans="1:8" ht="12.75" customHeight="1">
      <c r="A21" s="286"/>
      <c r="B21" s="36"/>
      <c r="C21" s="2"/>
      <c r="D21" s="188"/>
      <c r="E21" s="216"/>
      <c r="F21" s="287"/>
      <c r="G21" s="287"/>
      <c r="H21" s="185"/>
    </row>
    <row r="22" spans="1:8" ht="12.75" customHeight="1">
      <c r="A22" s="286"/>
      <c r="B22" s="36"/>
      <c r="C22" s="2"/>
      <c r="D22" s="188"/>
      <c r="E22" s="216"/>
      <c r="F22" s="287"/>
      <c r="G22" s="287"/>
      <c r="H22" s="185"/>
    </row>
    <row r="23" spans="1:8" ht="12.75" customHeight="1">
      <c r="A23" s="286"/>
      <c r="B23" s="36"/>
      <c r="C23" s="2"/>
      <c r="D23" s="188"/>
      <c r="E23" s="216"/>
      <c r="F23" s="287"/>
      <c r="G23" s="287"/>
      <c r="H23" s="185"/>
    </row>
    <row r="24" spans="1:8" ht="12.75" customHeight="1">
      <c r="A24" s="286"/>
      <c r="B24" s="36"/>
      <c r="C24" s="2"/>
      <c r="D24" s="188"/>
      <c r="E24" s="216"/>
      <c r="F24" s="287"/>
      <c r="G24" s="287"/>
      <c r="H24" s="185"/>
    </row>
    <row r="25" spans="1:8" ht="12.75" customHeight="1">
      <c r="A25" s="286"/>
      <c r="B25" s="36"/>
      <c r="C25" s="2"/>
      <c r="D25" s="188"/>
      <c r="E25" s="216"/>
      <c r="F25" s="287"/>
      <c r="G25" s="287"/>
      <c r="H25" s="185"/>
    </row>
    <row r="26" spans="1:8" ht="12.75" customHeight="1">
      <c r="A26" s="286"/>
      <c r="B26" s="36"/>
      <c r="C26" s="2"/>
      <c r="D26" s="188"/>
      <c r="E26" s="216"/>
      <c r="F26" s="287"/>
      <c r="G26" s="287"/>
      <c r="H26" s="185"/>
    </row>
    <row r="27" spans="1:12" ht="12.75" customHeight="1">
      <c r="A27" s="2"/>
      <c r="B27" s="2"/>
      <c r="C27" s="36"/>
      <c r="D27" s="36"/>
      <c r="E27" s="36"/>
      <c r="F27" s="161"/>
      <c r="G27" s="161"/>
      <c r="H27" s="161"/>
      <c r="I27" s="161"/>
      <c r="J27" s="161"/>
      <c r="K27" s="161"/>
      <c r="L27" s="161"/>
    </row>
    <row r="28" spans="1:12" ht="12.75" customHeight="1">
      <c r="A28" s="36"/>
      <c r="B28" s="2"/>
      <c r="C28" s="2"/>
      <c r="D28" s="36"/>
      <c r="E28" s="36"/>
      <c r="F28" s="332"/>
      <c r="G28" s="332"/>
      <c r="H28" s="332"/>
      <c r="I28" s="332"/>
      <c r="J28" s="332"/>
      <c r="K28" s="333"/>
      <c r="L28" s="329"/>
    </row>
    <row r="29" spans="1:12" ht="11.25" customHeight="1">
      <c r="A29" s="323"/>
      <c r="B29" s="2"/>
      <c r="C29" s="209"/>
      <c r="D29" s="161"/>
      <c r="E29" s="209"/>
      <c r="F29" s="324"/>
      <c r="G29" s="324"/>
      <c r="H29" s="2"/>
      <c r="I29" s="2"/>
      <c r="J29" s="2"/>
      <c r="K29" s="2"/>
      <c r="L29" s="2"/>
    </row>
    <row r="30" spans="1:12" ht="11.25" customHeight="1">
      <c r="A30" s="325"/>
      <c r="B30" s="311"/>
      <c r="C30" s="311"/>
      <c r="D30" s="313"/>
      <c r="E30" s="311"/>
      <c r="F30" s="334"/>
      <c r="G30" s="335"/>
      <c r="H30" s="326"/>
      <c r="I30" s="2"/>
      <c r="J30" s="2"/>
      <c r="K30" s="2"/>
      <c r="L30" s="2"/>
    </row>
    <row r="31" spans="1:12" ht="11.25" customHeight="1">
      <c r="A31" s="325"/>
      <c r="B31" s="311"/>
      <c r="C31" s="311"/>
      <c r="D31" s="313"/>
      <c r="E31" s="311"/>
      <c r="F31" s="334"/>
      <c r="G31" s="335"/>
      <c r="H31" s="326"/>
      <c r="I31" s="2"/>
      <c r="J31" s="2"/>
      <c r="K31" s="2"/>
      <c r="L31" s="2"/>
    </row>
    <row r="32" spans="1:12" ht="11.25" customHeight="1">
      <c r="A32" s="325"/>
      <c r="B32" s="311"/>
      <c r="C32" s="311"/>
      <c r="D32" s="313"/>
      <c r="E32" s="311"/>
      <c r="F32" s="334"/>
      <c r="G32" s="335"/>
      <c r="H32" s="326"/>
      <c r="I32" s="2"/>
      <c r="J32" s="2"/>
      <c r="K32" s="2"/>
      <c r="L32" s="2"/>
    </row>
    <row r="33" spans="1:12" ht="11.25" customHeight="1">
      <c r="A33" s="325"/>
      <c r="B33" s="311"/>
      <c r="C33" s="311"/>
      <c r="D33" s="313"/>
      <c r="E33" s="311"/>
      <c r="F33" s="334"/>
      <c r="G33" s="335"/>
      <c r="H33" s="326"/>
      <c r="I33" s="2"/>
      <c r="J33" s="2"/>
      <c r="K33" s="2"/>
      <c r="L33" s="2"/>
    </row>
    <row r="34" spans="1:12" ht="11.25" customHeight="1">
      <c r="A34" s="325"/>
      <c r="B34" s="311"/>
      <c r="C34" s="311"/>
      <c r="D34" s="313"/>
      <c r="E34" s="311"/>
      <c r="F34" s="334"/>
      <c r="G34" s="335"/>
      <c r="H34" s="326"/>
      <c r="I34" s="2"/>
      <c r="J34" s="2"/>
      <c r="K34" s="2"/>
      <c r="L34" s="2"/>
    </row>
    <row r="35" spans="1:12" ht="11.25" customHeight="1">
      <c r="A35" s="325"/>
      <c r="B35" s="36"/>
      <c r="C35" s="36"/>
      <c r="D35" s="327"/>
      <c r="E35" s="36"/>
      <c r="F35" s="328"/>
      <c r="G35" s="328"/>
      <c r="H35" s="322"/>
      <c r="I35" s="2"/>
      <c r="J35" s="2"/>
      <c r="K35" s="2"/>
      <c r="L35" s="2"/>
    </row>
  </sheetData>
  <sheetProtection sheet="1" formatCells="0" formatColumns="0" formatRows="0"/>
  <mergeCells count="5">
    <mergeCell ref="H6:H7"/>
    <mergeCell ref="I6:I7"/>
    <mergeCell ref="H1:I1"/>
    <mergeCell ref="H3:I3"/>
    <mergeCell ref="C1:D1"/>
  </mergeCells>
  <printOptions horizontalCentered="1"/>
  <pageMargins left="1" right="0.5" top="0.5" bottom="0.5" header="0.5" footer="0.15"/>
  <pageSetup fitToHeight="1" fitToWidth="1" horizontalDpi="300" verticalDpi="300" orientation="landscape" paperSize="5"/>
  <headerFooter alignWithMargins="0">
    <oddFooter>&amp;LRev. 8/18&amp;CFY 2018&amp;RPage 5 of 10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48"/>
  <sheetViews>
    <sheetView showGridLines="0" workbookViewId="0" topLeftCell="A1">
      <selection activeCell="A1" sqref="A1"/>
    </sheetView>
  </sheetViews>
  <sheetFormatPr defaultColWidth="8.83203125" defaultRowHeight="12.75"/>
  <cols>
    <col min="1" max="1" width="1.83203125" style="0" customWidth="1"/>
    <col min="2" max="2" width="2.16015625" style="0" customWidth="1"/>
    <col min="3" max="3" width="17.16015625" style="0" customWidth="1"/>
    <col min="4" max="4" width="22.66015625" style="0" customWidth="1"/>
    <col min="5" max="5" width="4.66015625" style="0" bestFit="1" customWidth="1"/>
    <col min="6" max="9" width="12.83203125" style="0" customWidth="1"/>
    <col min="10" max="10" width="14.83203125" style="0" customWidth="1"/>
    <col min="11" max="15" width="12.83203125" style="0" customWidth="1"/>
    <col min="16" max="16" width="3.66015625" style="0" bestFit="1" customWidth="1"/>
  </cols>
  <sheetData>
    <row r="1" spans="1:16" ht="12" customHeight="1">
      <c r="A1" s="285" t="s">
        <v>422</v>
      </c>
      <c r="B1" s="36"/>
      <c r="C1" s="36"/>
      <c r="D1" s="635" t="str">
        <f>'Cover Page'!D1</f>
        <v>George Gervin Youth Center, Inc. </v>
      </c>
      <c r="E1" s="635"/>
      <c r="F1" s="161"/>
      <c r="G1" s="161"/>
      <c r="H1" s="36"/>
      <c r="I1" s="97" t="s">
        <v>402</v>
      </c>
      <c r="J1" s="635" t="str">
        <f>'Cover Page'!M1</f>
        <v>Maricopa</v>
      </c>
      <c r="K1" s="635"/>
      <c r="L1" s="36"/>
      <c r="M1" s="97" t="s">
        <v>399</v>
      </c>
      <c r="N1" s="97"/>
      <c r="O1" s="245" t="str">
        <f>'Cover Page'!R1</f>
        <v>078585000</v>
      </c>
      <c r="P1" s="36"/>
    </row>
    <row r="2" spans="1:16" ht="12" customHeight="1">
      <c r="A2" s="240"/>
      <c r="B2" s="240"/>
      <c r="C2" s="240"/>
      <c r="D2" s="240"/>
      <c r="E2" s="240"/>
      <c r="F2" s="240"/>
      <c r="G2" s="240"/>
      <c r="H2" s="240"/>
      <c r="I2" s="240"/>
      <c r="J2" s="240"/>
      <c r="K2" s="36"/>
      <c r="L2" s="36"/>
      <c r="M2" s="36"/>
      <c r="N2" s="36"/>
      <c r="O2" s="36"/>
      <c r="P2" s="36"/>
    </row>
    <row r="3" spans="1:16" ht="12" customHeight="1">
      <c r="A3" s="198"/>
      <c r="B3" s="163"/>
      <c r="C3" s="163"/>
      <c r="D3" s="163"/>
      <c r="E3" s="199"/>
      <c r="F3" s="331" t="s">
        <v>218</v>
      </c>
      <c r="G3" s="199"/>
      <c r="H3" s="177"/>
      <c r="I3" s="309" t="s">
        <v>345</v>
      </c>
      <c r="J3" s="177" t="s">
        <v>344</v>
      </c>
      <c r="K3" s="199"/>
      <c r="L3" s="200"/>
      <c r="M3" s="643" t="s">
        <v>211</v>
      </c>
      <c r="N3" s="644"/>
      <c r="O3" s="29" t="s">
        <v>208</v>
      </c>
      <c r="P3" s="36"/>
    </row>
    <row r="4" spans="1:16" ht="12" customHeight="1">
      <c r="A4" s="201" t="s">
        <v>214</v>
      </c>
      <c r="B4" s="36"/>
      <c r="C4" s="36"/>
      <c r="D4" s="36"/>
      <c r="E4" s="202"/>
      <c r="F4" s="203" t="s">
        <v>209</v>
      </c>
      <c r="G4" s="282" t="s">
        <v>309</v>
      </c>
      <c r="H4" s="203" t="s">
        <v>405</v>
      </c>
      <c r="I4" s="280" t="s">
        <v>406</v>
      </c>
      <c r="J4" s="203" t="s">
        <v>335</v>
      </c>
      <c r="K4" s="282" t="s">
        <v>420</v>
      </c>
      <c r="L4" s="203" t="s">
        <v>346</v>
      </c>
      <c r="M4" s="204"/>
      <c r="N4" s="36"/>
      <c r="O4" s="203" t="s">
        <v>209</v>
      </c>
      <c r="P4" s="36"/>
    </row>
    <row r="5" spans="1:16" ht="12" customHeight="1">
      <c r="A5" s="288"/>
      <c r="B5" s="158"/>
      <c r="C5" s="158"/>
      <c r="D5" s="158"/>
      <c r="E5" s="205"/>
      <c r="F5" s="296" t="s">
        <v>210</v>
      </c>
      <c r="G5" s="291" t="s">
        <v>321</v>
      </c>
      <c r="H5" s="206">
        <v>6100</v>
      </c>
      <c r="I5" s="281">
        <v>6200</v>
      </c>
      <c r="J5" s="206" t="s">
        <v>456</v>
      </c>
      <c r="K5" s="283">
        <v>6600</v>
      </c>
      <c r="L5" s="206">
        <v>6800</v>
      </c>
      <c r="M5" s="292" t="s">
        <v>308</v>
      </c>
      <c r="N5" s="297" t="s">
        <v>309</v>
      </c>
      <c r="O5" s="296" t="s">
        <v>210</v>
      </c>
      <c r="P5" s="36"/>
    </row>
    <row r="6" spans="1:16" ht="11.25" customHeight="1">
      <c r="A6" s="261" t="s">
        <v>284</v>
      </c>
      <c r="B6" s="262"/>
      <c r="C6" s="262"/>
      <c r="D6" s="262"/>
      <c r="F6" s="624"/>
      <c r="G6" s="624"/>
      <c r="H6" s="628"/>
      <c r="I6" s="628"/>
      <c r="J6" s="628"/>
      <c r="K6" s="628"/>
      <c r="L6" s="628"/>
      <c r="M6" s="624"/>
      <c r="N6" s="294"/>
      <c r="O6" s="624"/>
      <c r="P6" s="36"/>
    </row>
    <row r="7" spans="1:16" ht="11.25" customHeight="1">
      <c r="A7" s="289" t="s">
        <v>321</v>
      </c>
      <c r="B7" s="209"/>
      <c r="C7" s="209"/>
      <c r="D7" s="209"/>
      <c r="E7" s="208"/>
      <c r="F7" s="625"/>
      <c r="G7" s="625"/>
      <c r="H7" s="642"/>
      <c r="I7" s="642"/>
      <c r="J7" s="642"/>
      <c r="K7" s="642"/>
      <c r="L7" s="642"/>
      <c r="M7" s="625"/>
      <c r="N7" s="295"/>
      <c r="O7" s="625"/>
      <c r="P7" s="36"/>
    </row>
    <row r="8" spans="1:16" ht="12" customHeight="1">
      <c r="A8" s="289"/>
      <c r="B8" s="209" t="s">
        <v>205</v>
      </c>
      <c r="C8" s="209"/>
      <c r="D8" s="209"/>
      <c r="E8" s="208">
        <v>1</v>
      </c>
      <c r="F8" s="293"/>
      <c r="G8" s="239"/>
      <c r="H8" s="293"/>
      <c r="I8" s="293"/>
      <c r="J8" s="293"/>
      <c r="K8" s="293"/>
      <c r="L8" s="293"/>
      <c r="M8" s="293"/>
      <c r="N8" s="293"/>
      <c r="O8" s="293"/>
      <c r="P8" s="164">
        <v>1</v>
      </c>
    </row>
    <row r="9" spans="1:16" ht="12" customHeight="1">
      <c r="A9" s="289"/>
      <c r="B9" s="209" t="s">
        <v>207</v>
      </c>
      <c r="C9" s="209"/>
      <c r="D9" s="209"/>
      <c r="E9" s="208">
        <v>2</v>
      </c>
      <c r="F9" s="293"/>
      <c r="G9" s="239"/>
      <c r="H9" s="293"/>
      <c r="I9" s="293"/>
      <c r="J9" s="293"/>
      <c r="K9" s="293"/>
      <c r="L9" s="293"/>
      <c r="M9" s="293"/>
      <c r="N9" s="293"/>
      <c r="O9" s="293"/>
      <c r="P9" s="164">
        <v>2</v>
      </c>
    </row>
    <row r="10" spans="1:16" ht="12" customHeight="1">
      <c r="A10" s="168" t="s">
        <v>206</v>
      </c>
      <c r="B10" s="209"/>
      <c r="C10" s="209"/>
      <c r="D10" s="209"/>
      <c r="E10" s="208">
        <v>3</v>
      </c>
      <c r="F10" s="293"/>
      <c r="G10" s="259">
        <f>SUM(G8:G9)</f>
        <v>0</v>
      </c>
      <c r="H10" s="293"/>
      <c r="I10" s="293"/>
      <c r="J10" s="293"/>
      <c r="K10" s="293"/>
      <c r="L10" s="293"/>
      <c r="M10" s="293"/>
      <c r="N10" s="293"/>
      <c r="O10" s="293"/>
      <c r="P10" s="164">
        <v>3</v>
      </c>
    </row>
    <row r="11" spans="1:16" ht="11.25" customHeight="1">
      <c r="A11" s="289" t="s">
        <v>374</v>
      </c>
      <c r="B11" s="209"/>
      <c r="C11" s="209"/>
      <c r="D11" s="209"/>
      <c r="E11" s="298"/>
      <c r="F11" s="357"/>
      <c r="G11" s="620"/>
      <c r="H11" s="343"/>
      <c r="I11" s="343"/>
      <c r="J11" s="343"/>
      <c r="K11" s="343"/>
      <c r="L11" s="343"/>
      <c r="M11" s="631">
        <f>[2]!SEIP1071P260F1000</f>
        <v>0</v>
      </c>
      <c r="N11" s="626">
        <f>SUM(H13:L13)</f>
        <v>0</v>
      </c>
      <c r="O11" s="357"/>
      <c r="P11" s="36"/>
    </row>
    <row r="12" spans="1:16" ht="12" customHeight="1">
      <c r="A12" s="165" t="s">
        <v>215</v>
      </c>
      <c r="B12" s="36"/>
      <c r="C12" s="36"/>
      <c r="D12" s="36"/>
      <c r="F12" s="358"/>
      <c r="G12" s="621"/>
      <c r="H12" s="346"/>
      <c r="I12" s="346"/>
      <c r="J12" s="346"/>
      <c r="K12" s="346"/>
      <c r="L12" s="346"/>
      <c r="M12" s="632"/>
      <c r="N12" s="634"/>
      <c r="O12" s="358"/>
      <c r="P12" s="36"/>
    </row>
    <row r="13" spans="1:16" ht="12" customHeight="1">
      <c r="A13" s="165"/>
      <c r="B13" s="36" t="s">
        <v>347</v>
      </c>
      <c r="C13" s="36"/>
      <c r="D13" s="36"/>
      <c r="E13" s="298">
        <v>4</v>
      </c>
      <c r="F13" s="359"/>
      <c r="G13" s="622"/>
      <c r="H13" s="344"/>
      <c r="I13" s="344"/>
      <c r="J13" s="344"/>
      <c r="K13" s="344"/>
      <c r="L13" s="344"/>
      <c r="M13" s="633"/>
      <c r="N13" s="627"/>
      <c r="O13" s="359"/>
      <c r="P13" s="164">
        <v>4</v>
      </c>
    </row>
    <row r="14" spans="1:15" ht="12" customHeight="1">
      <c r="A14" s="165"/>
      <c r="B14" s="209" t="s">
        <v>307</v>
      </c>
      <c r="C14" s="36"/>
      <c r="D14" s="36"/>
      <c r="F14" s="360"/>
      <c r="G14" s="620"/>
      <c r="H14" s="343"/>
      <c r="I14" s="343"/>
      <c r="J14" s="343"/>
      <c r="K14" s="343"/>
      <c r="L14" s="343"/>
      <c r="M14" s="631">
        <f>[2]!SEIP1071P260F2100</f>
        <v>0</v>
      </c>
      <c r="N14" s="626">
        <f>SUM(H15:L15)</f>
        <v>0</v>
      </c>
      <c r="O14" s="360"/>
    </row>
    <row r="15" spans="1:16" ht="12" customHeight="1">
      <c r="A15" s="165"/>
      <c r="B15" s="36"/>
      <c r="C15" s="36" t="s">
        <v>348</v>
      </c>
      <c r="D15" s="36"/>
      <c r="E15" s="208">
        <v>5</v>
      </c>
      <c r="F15" s="361"/>
      <c r="G15" s="622"/>
      <c r="H15" s="344"/>
      <c r="I15" s="344"/>
      <c r="J15" s="344"/>
      <c r="K15" s="344"/>
      <c r="L15" s="344"/>
      <c r="M15" s="633"/>
      <c r="N15" s="627"/>
      <c r="O15" s="361"/>
      <c r="P15" s="164">
        <v>5</v>
      </c>
    </row>
    <row r="16" spans="1:16" ht="12" customHeight="1">
      <c r="A16" s="165"/>
      <c r="B16" s="36"/>
      <c r="C16" s="36" t="s">
        <v>282</v>
      </c>
      <c r="D16" s="36"/>
      <c r="E16" s="298">
        <v>6</v>
      </c>
      <c r="F16" s="362"/>
      <c r="G16" s="300"/>
      <c r="H16" s="239"/>
      <c r="I16" s="239"/>
      <c r="J16" s="239"/>
      <c r="K16" s="239"/>
      <c r="L16" s="239"/>
      <c r="M16" s="258">
        <f>[2]!SEIP1071P260F2200</f>
        <v>0</v>
      </c>
      <c r="N16" s="170">
        <f aca="true" t="shared" si="0" ref="N16:N21">SUM(H16:L16)</f>
        <v>0</v>
      </c>
      <c r="O16" s="362"/>
      <c r="P16" s="164">
        <v>6</v>
      </c>
    </row>
    <row r="17" spans="1:16" ht="12" customHeight="1">
      <c r="A17" s="165"/>
      <c r="B17" s="36"/>
      <c r="C17" s="36" t="s">
        <v>349</v>
      </c>
      <c r="D17" s="36"/>
      <c r="E17" s="208">
        <v>7</v>
      </c>
      <c r="F17" s="362"/>
      <c r="G17" s="299"/>
      <c r="H17" s="239"/>
      <c r="I17" s="239"/>
      <c r="J17" s="239"/>
      <c r="K17" s="239"/>
      <c r="L17" s="239"/>
      <c r="M17" s="258">
        <f>[2]!SEIP1071P260F2300</f>
        <v>0</v>
      </c>
      <c r="N17" s="170">
        <f t="shared" si="0"/>
        <v>0</v>
      </c>
      <c r="O17" s="362"/>
      <c r="P17" s="164">
        <v>7</v>
      </c>
    </row>
    <row r="18" spans="1:16" ht="12" customHeight="1">
      <c r="A18" s="165"/>
      <c r="B18" s="36"/>
      <c r="C18" s="36" t="s">
        <v>350</v>
      </c>
      <c r="D18" s="36"/>
      <c r="E18" s="208">
        <v>8</v>
      </c>
      <c r="F18" s="362"/>
      <c r="G18" s="299"/>
      <c r="H18" s="239"/>
      <c r="I18" s="239"/>
      <c r="J18" s="239"/>
      <c r="K18" s="239"/>
      <c r="L18" s="239"/>
      <c r="M18" s="258">
        <f>[2]!SEIP1071P260F2400</f>
        <v>0</v>
      </c>
      <c r="N18" s="170">
        <f t="shared" si="0"/>
        <v>0</v>
      </c>
      <c r="O18" s="362"/>
      <c r="P18" s="164">
        <v>8</v>
      </c>
    </row>
    <row r="19" spans="1:16" ht="12" customHeight="1">
      <c r="A19" s="165"/>
      <c r="B19" s="36"/>
      <c r="C19" s="209" t="s">
        <v>283</v>
      </c>
      <c r="D19" s="36"/>
      <c r="E19" s="208">
        <v>9</v>
      </c>
      <c r="F19" s="362"/>
      <c r="G19" s="299"/>
      <c r="H19" s="239"/>
      <c r="I19" s="239"/>
      <c r="J19" s="239"/>
      <c r="K19" s="239"/>
      <c r="L19" s="239"/>
      <c r="M19" s="258">
        <f>[2]!SEIP1071P260F2500</f>
        <v>0</v>
      </c>
      <c r="N19" s="170">
        <f t="shared" si="0"/>
        <v>0</v>
      </c>
      <c r="O19" s="362"/>
      <c r="P19" s="164">
        <v>9</v>
      </c>
    </row>
    <row r="20" spans="1:16" ht="12" customHeight="1">
      <c r="A20" s="165"/>
      <c r="B20" s="36"/>
      <c r="C20" s="209" t="s">
        <v>241</v>
      </c>
      <c r="D20" s="36"/>
      <c r="E20" s="208">
        <v>10</v>
      </c>
      <c r="F20" s="362"/>
      <c r="G20" s="299"/>
      <c r="H20" s="171"/>
      <c r="I20" s="171"/>
      <c r="J20" s="171"/>
      <c r="K20" s="171"/>
      <c r="L20" s="171"/>
      <c r="M20" s="259">
        <f>[2]!SEIP1071P260F2600</f>
        <v>0</v>
      </c>
      <c r="N20" s="170">
        <f t="shared" si="0"/>
        <v>0</v>
      </c>
      <c r="O20" s="362"/>
      <c r="P20" s="164">
        <v>10</v>
      </c>
    </row>
    <row r="21" spans="1:16" ht="12" customHeight="1">
      <c r="A21" s="165"/>
      <c r="B21" s="36"/>
      <c r="C21" s="209" t="s">
        <v>242</v>
      </c>
      <c r="D21" s="36"/>
      <c r="E21" s="208">
        <v>11</v>
      </c>
      <c r="F21" s="362"/>
      <c r="G21" s="299"/>
      <c r="H21" s="172"/>
      <c r="I21" s="172"/>
      <c r="J21" s="172"/>
      <c r="K21" s="172"/>
      <c r="L21" s="172"/>
      <c r="M21" s="257">
        <f>[2]!SEIP1071P260F2900</f>
        <v>0</v>
      </c>
      <c r="N21" s="170">
        <f t="shared" si="0"/>
        <v>0</v>
      </c>
      <c r="O21" s="362"/>
      <c r="P21" s="164">
        <v>11</v>
      </c>
    </row>
    <row r="22" spans="1:16" ht="12" customHeight="1">
      <c r="A22" s="210"/>
      <c r="B22" s="158" t="s">
        <v>212</v>
      </c>
      <c r="C22" s="242"/>
      <c r="D22" s="158"/>
      <c r="E22" s="205">
        <v>12</v>
      </c>
      <c r="F22" s="362"/>
      <c r="G22" s="301"/>
      <c r="H22" s="241">
        <f aca="true" t="shared" si="1" ref="H22:N22">SUM(H11:H21)</f>
        <v>0</v>
      </c>
      <c r="I22" s="241">
        <f t="shared" si="1"/>
        <v>0</v>
      </c>
      <c r="J22" s="241">
        <f t="shared" si="1"/>
        <v>0</v>
      </c>
      <c r="K22" s="241">
        <f t="shared" si="1"/>
        <v>0</v>
      </c>
      <c r="L22" s="241">
        <f t="shared" si="1"/>
        <v>0</v>
      </c>
      <c r="M22" s="257">
        <f t="shared" si="1"/>
        <v>0</v>
      </c>
      <c r="N22" s="241">
        <f t="shared" si="1"/>
        <v>0</v>
      </c>
      <c r="O22" s="362"/>
      <c r="P22" s="266">
        <v>12</v>
      </c>
    </row>
    <row r="23" spans="1:16" ht="12" customHeight="1">
      <c r="A23" s="165" t="s">
        <v>285</v>
      </c>
      <c r="B23" s="36"/>
      <c r="C23" s="209"/>
      <c r="D23" s="36"/>
      <c r="E23" s="208"/>
      <c r="F23" s="360"/>
      <c r="G23" s="620"/>
      <c r="H23" s="343"/>
      <c r="I23" s="343"/>
      <c r="J23" s="343"/>
      <c r="K23" s="343"/>
      <c r="L23" s="343"/>
      <c r="M23" s="638">
        <f>[2]!SEIP1071P430F2700</f>
        <v>0</v>
      </c>
      <c r="N23" s="645">
        <f>SUM(H25:L25)</f>
        <v>0</v>
      </c>
      <c r="O23" s="360"/>
      <c r="P23" s="164"/>
    </row>
    <row r="24" spans="1:16" ht="12" customHeight="1">
      <c r="A24" s="165"/>
      <c r="B24" s="36" t="s">
        <v>307</v>
      </c>
      <c r="C24" s="209"/>
      <c r="D24" s="36"/>
      <c r="E24" s="208"/>
      <c r="F24" s="363"/>
      <c r="G24" s="621"/>
      <c r="H24" s="346"/>
      <c r="I24" s="346"/>
      <c r="J24" s="346"/>
      <c r="K24" s="346"/>
      <c r="L24" s="346"/>
      <c r="M24" s="639"/>
      <c r="N24" s="646"/>
      <c r="O24" s="363"/>
      <c r="P24" s="164"/>
    </row>
    <row r="25" spans="1:16" ht="12" customHeight="1">
      <c r="A25" s="165"/>
      <c r="B25" s="36"/>
      <c r="C25" s="209" t="s">
        <v>305</v>
      </c>
      <c r="D25" s="36"/>
      <c r="E25" s="208">
        <v>13</v>
      </c>
      <c r="F25" s="361"/>
      <c r="G25" s="622"/>
      <c r="H25" s="344"/>
      <c r="I25" s="344"/>
      <c r="J25" s="344"/>
      <c r="K25" s="344"/>
      <c r="L25" s="344"/>
      <c r="M25" s="640"/>
      <c r="N25" s="647"/>
      <c r="O25" s="361"/>
      <c r="P25" s="266">
        <v>13</v>
      </c>
    </row>
    <row r="26" spans="1:16" ht="12" customHeight="1">
      <c r="A26" s="211" t="s">
        <v>85</v>
      </c>
      <c r="B26" s="212"/>
      <c r="C26" s="212"/>
      <c r="D26" s="212"/>
      <c r="E26" s="213">
        <v>14</v>
      </c>
      <c r="F26" s="310">
        <f>[1]!SEIP1071EndBal</f>
        <v>0</v>
      </c>
      <c r="G26" s="310">
        <f>G10</f>
        <v>0</v>
      </c>
      <c r="H26" s="170">
        <f aca="true" t="shared" si="2" ref="H26:N26">SUM(H22:H25)</f>
        <v>0</v>
      </c>
      <c r="I26" s="170">
        <f t="shared" si="2"/>
        <v>0</v>
      </c>
      <c r="J26" s="170">
        <f t="shared" si="2"/>
        <v>0</v>
      </c>
      <c r="K26" s="170">
        <f t="shared" si="2"/>
        <v>0</v>
      </c>
      <c r="L26" s="170">
        <f t="shared" si="2"/>
        <v>0</v>
      </c>
      <c r="M26" s="259">
        <f t="shared" si="2"/>
        <v>0</v>
      </c>
      <c r="N26" s="170">
        <f t="shared" si="2"/>
        <v>0</v>
      </c>
      <c r="O26" s="336">
        <f>F26+G26-N26</f>
        <v>0</v>
      </c>
      <c r="P26" s="266">
        <v>14</v>
      </c>
    </row>
    <row r="27" spans="1:16" ht="9" customHeight="1">
      <c r="A27" s="636"/>
      <c r="B27" s="636"/>
      <c r="C27" s="636"/>
      <c r="D27" s="636"/>
      <c r="E27" s="636"/>
      <c r="F27" s="636"/>
      <c r="G27" s="636"/>
      <c r="H27" s="636"/>
      <c r="I27" s="636"/>
      <c r="J27" s="637"/>
      <c r="K27" s="637"/>
      <c r="L27" s="637"/>
      <c r="M27" s="36"/>
      <c r="N27" s="36"/>
      <c r="O27" s="36"/>
      <c r="P27" s="36"/>
    </row>
    <row r="28" spans="1:16" ht="11.25" customHeight="1">
      <c r="A28" s="198" t="s">
        <v>269</v>
      </c>
      <c r="B28" s="163"/>
      <c r="C28" s="163"/>
      <c r="D28" s="262"/>
      <c r="E28" s="207"/>
      <c r="F28" s="624"/>
      <c r="G28" s="620"/>
      <c r="H28" s="628"/>
      <c r="I28" s="628"/>
      <c r="J28" s="628"/>
      <c r="K28" s="628"/>
      <c r="L28" s="630"/>
      <c r="M28" s="623"/>
      <c r="N28" s="623"/>
      <c r="O28" s="624"/>
      <c r="P28" s="209"/>
    </row>
    <row r="29" spans="1:16" ht="11.25" customHeight="1">
      <c r="A29" s="289" t="s">
        <v>321</v>
      </c>
      <c r="B29" s="36"/>
      <c r="C29" s="36"/>
      <c r="D29" s="209"/>
      <c r="E29" s="208"/>
      <c r="F29" s="625"/>
      <c r="G29" s="621"/>
      <c r="H29" s="629"/>
      <c r="I29" s="629"/>
      <c r="J29" s="629"/>
      <c r="K29" s="629"/>
      <c r="L29" s="630"/>
      <c r="M29" s="623"/>
      <c r="N29" s="623"/>
      <c r="O29" s="625"/>
      <c r="P29" s="209"/>
    </row>
    <row r="30" spans="1:16" ht="12" customHeight="1">
      <c r="A30" s="289"/>
      <c r="B30" s="209" t="s">
        <v>205</v>
      </c>
      <c r="C30" s="36"/>
      <c r="D30" s="209"/>
      <c r="E30" s="208">
        <v>15</v>
      </c>
      <c r="F30" s="303"/>
      <c r="G30" s="337"/>
      <c r="H30" s="293"/>
      <c r="I30" s="293"/>
      <c r="J30" s="293"/>
      <c r="K30" s="293"/>
      <c r="L30" s="302"/>
      <c r="M30" s="293"/>
      <c r="N30" s="293"/>
      <c r="O30" s="303"/>
      <c r="P30" s="266">
        <v>15</v>
      </c>
    </row>
    <row r="31" spans="1:16" ht="12" customHeight="1">
      <c r="A31" s="289"/>
      <c r="B31" s="209" t="s">
        <v>207</v>
      </c>
      <c r="C31" s="36"/>
      <c r="D31" s="209"/>
      <c r="E31" s="208">
        <v>16</v>
      </c>
      <c r="F31" s="303"/>
      <c r="G31" s="239"/>
      <c r="H31" s="293"/>
      <c r="I31" s="293"/>
      <c r="J31" s="293"/>
      <c r="K31" s="293"/>
      <c r="L31" s="293"/>
      <c r="M31" s="293"/>
      <c r="N31" s="293"/>
      <c r="O31" s="303"/>
      <c r="P31" s="266">
        <v>16</v>
      </c>
    </row>
    <row r="32" spans="1:16" ht="12" customHeight="1">
      <c r="A32" s="168" t="s">
        <v>223</v>
      </c>
      <c r="B32" s="36"/>
      <c r="C32" s="36"/>
      <c r="D32" s="209"/>
      <c r="E32" s="208">
        <v>17</v>
      </c>
      <c r="F32" s="305"/>
      <c r="G32" s="290">
        <f>SUM(G30:G31)</f>
        <v>0</v>
      </c>
      <c r="H32" s="304"/>
      <c r="I32" s="304"/>
      <c r="J32" s="304"/>
      <c r="K32" s="304"/>
      <c r="L32" s="304"/>
      <c r="M32" s="304"/>
      <c r="N32" s="304"/>
      <c r="O32" s="305"/>
      <c r="P32" s="266">
        <v>17</v>
      </c>
    </row>
    <row r="33" spans="1:16" ht="11.25" customHeight="1">
      <c r="A33" s="289" t="s">
        <v>374</v>
      </c>
      <c r="B33" s="36"/>
      <c r="C33" s="36"/>
      <c r="D33" s="209"/>
      <c r="E33" s="298"/>
      <c r="F33" s="357"/>
      <c r="G33" s="306"/>
      <c r="H33" s="290"/>
      <c r="I33" s="290"/>
      <c r="J33" s="290"/>
      <c r="K33" s="290"/>
      <c r="L33" s="290"/>
      <c r="M33" s="641">
        <f>[2]!CIP1072P265F1000</f>
        <v>0</v>
      </c>
      <c r="N33" s="641">
        <f>SUM(H35:L35)</f>
        <v>0</v>
      </c>
      <c r="O33" s="357"/>
      <c r="P33" s="209"/>
    </row>
    <row r="34" spans="1:16" ht="12" customHeight="1">
      <c r="A34" s="165" t="s">
        <v>216</v>
      </c>
      <c r="B34" s="36"/>
      <c r="C34" s="36"/>
      <c r="D34" s="209"/>
      <c r="E34" s="298"/>
      <c r="F34" s="358"/>
      <c r="G34" s="307"/>
      <c r="H34" s="345"/>
      <c r="I34" s="345"/>
      <c r="J34" s="345"/>
      <c r="K34" s="345"/>
      <c r="L34" s="345"/>
      <c r="M34" s="641"/>
      <c r="N34" s="641"/>
      <c r="O34" s="358"/>
      <c r="P34" s="209"/>
    </row>
    <row r="35" spans="1:16" ht="12" customHeight="1">
      <c r="A35" s="165"/>
      <c r="B35" s="36" t="s">
        <v>347</v>
      </c>
      <c r="C35" s="36"/>
      <c r="D35" s="209"/>
      <c r="E35" s="298">
        <v>18</v>
      </c>
      <c r="F35" s="359"/>
      <c r="G35" s="308"/>
      <c r="H35" s="356"/>
      <c r="I35" s="356"/>
      <c r="J35" s="356"/>
      <c r="K35" s="356"/>
      <c r="L35" s="356"/>
      <c r="M35" s="641"/>
      <c r="N35" s="641"/>
      <c r="O35" s="359"/>
      <c r="P35" s="266">
        <v>18</v>
      </c>
    </row>
    <row r="36" spans="1:16" ht="12" customHeight="1">
      <c r="A36" s="165"/>
      <c r="B36" s="209" t="s">
        <v>307</v>
      </c>
      <c r="C36" s="36"/>
      <c r="D36" s="209"/>
      <c r="E36" s="208"/>
      <c r="F36" s="360"/>
      <c r="G36" s="621"/>
      <c r="H36" s="290"/>
      <c r="I36" s="290"/>
      <c r="J36" s="290"/>
      <c r="K36" s="290"/>
      <c r="L36" s="290"/>
      <c r="M36" s="639">
        <f>[2]!CIP1072P265F2100</f>
        <v>0</v>
      </c>
      <c r="N36" s="639">
        <f>SUM(H37:L37)</f>
        <v>0</v>
      </c>
      <c r="O36" s="360"/>
      <c r="P36" s="266"/>
    </row>
    <row r="37" spans="1:16" ht="12" customHeight="1">
      <c r="A37" s="165"/>
      <c r="B37" s="36"/>
      <c r="C37" s="36" t="s">
        <v>348</v>
      </c>
      <c r="D37" s="209"/>
      <c r="E37" s="208">
        <v>19</v>
      </c>
      <c r="F37" s="361"/>
      <c r="G37" s="621"/>
      <c r="H37" s="356"/>
      <c r="I37" s="356"/>
      <c r="J37" s="356"/>
      <c r="K37" s="356"/>
      <c r="L37" s="356"/>
      <c r="M37" s="640"/>
      <c r="N37" s="640"/>
      <c r="O37" s="361"/>
      <c r="P37" s="266">
        <v>19</v>
      </c>
    </row>
    <row r="38" spans="1:16" ht="12" customHeight="1">
      <c r="A38" s="165"/>
      <c r="B38" s="36"/>
      <c r="C38" s="36" t="s">
        <v>282</v>
      </c>
      <c r="D38" s="209"/>
      <c r="E38" s="208">
        <v>20</v>
      </c>
      <c r="F38" s="362"/>
      <c r="G38" s="299"/>
      <c r="H38" s="263"/>
      <c r="I38" s="263"/>
      <c r="J38" s="263"/>
      <c r="K38" s="263"/>
      <c r="L38" s="263"/>
      <c r="M38" s="258">
        <f>[2]!CIP1072P265F2200</f>
        <v>0</v>
      </c>
      <c r="N38" s="259">
        <f aca="true" t="shared" si="3" ref="N38:N43">SUM(H38:L38)</f>
        <v>0</v>
      </c>
      <c r="O38" s="362"/>
      <c r="P38" s="266">
        <v>20</v>
      </c>
    </row>
    <row r="39" spans="1:16" ht="12" customHeight="1">
      <c r="A39" s="165"/>
      <c r="B39" s="36"/>
      <c r="C39" s="36" t="s">
        <v>349</v>
      </c>
      <c r="D39" s="209"/>
      <c r="E39" s="208">
        <v>21</v>
      </c>
      <c r="F39" s="362"/>
      <c r="G39" s="299"/>
      <c r="H39" s="263"/>
      <c r="I39" s="263"/>
      <c r="J39" s="263"/>
      <c r="K39" s="263"/>
      <c r="L39" s="263"/>
      <c r="M39" s="258">
        <f>[2]!CIP1072P265F2300</f>
        <v>0</v>
      </c>
      <c r="N39" s="259">
        <f t="shared" si="3"/>
        <v>0</v>
      </c>
      <c r="O39" s="362"/>
      <c r="P39" s="266">
        <v>21</v>
      </c>
    </row>
    <row r="40" spans="1:16" ht="12" customHeight="1">
      <c r="A40" s="165"/>
      <c r="B40" s="36"/>
      <c r="C40" s="36" t="s">
        <v>350</v>
      </c>
      <c r="D40" s="209"/>
      <c r="E40" s="208">
        <v>22</v>
      </c>
      <c r="F40" s="362"/>
      <c r="G40" s="299"/>
      <c r="H40" s="263"/>
      <c r="I40" s="263"/>
      <c r="J40" s="263"/>
      <c r="K40" s="263"/>
      <c r="L40" s="263"/>
      <c r="M40" s="258">
        <f>[2]!CIP1072P265F2400</f>
        <v>0</v>
      </c>
      <c r="N40" s="259">
        <f t="shared" si="3"/>
        <v>0</v>
      </c>
      <c r="O40" s="362"/>
      <c r="P40" s="266">
        <v>22</v>
      </c>
    </row>
    <row r="41" spans="1:16" ht="12" customHeight="1">
      <c r="A41" s="165"/>
      <c r="B41" s="36"/>
      <c r="C41" s="209" t="s">
        <v>283</v>
      </c>
      <c r="D41" s="209"/>
      <c r="E41" s="208">
        <v>23</v>
      </c>
      <c r="F41" s="362"/>
      <c r="G41" s="299"/>
      <c r="H41" s="263"/>
      <c r="I41" s="263"/>
      <c r="J41" s="263"/>
      <c r="K41" s="263"/>
      <c r="L41" s="263"/>
      <c r="M41" s="258">
        <f>[2]!CIP1072P265F2500</f>
        <v>0</v>
      </c>
      <c r="N41" s="259">
        <f t="shared" si="3"/>
        <v>0</v>
      </c>
      <c r="O41" s="362"/>
      <c r="P41" s="266">
        <v>23</v>
      </c>
    </row>
    <row r="42" spans="1:16" ht="12" customHeight="1">
      <c r="A42" s="165"/>
      <c r="B42" s="36"/>
      <c r="C42" s="209" t="s">
        <v>241</v>
      </c>
      <c r="D42" s="209"/>
      <c r="E42" s="208">
        <v>24</v>
      </c>
      <c r="F42" s="362"/>
      <c r="G42" s="299"/>
      <c r="H42" s="264"/>
      <c r="I42" s="264"/>
      <c r="J42" s="264"/>
      <c r="K42" s="264"/>
      <c r="L42" s="264"/>
      <c r="M42" s="259">
        <f>[2]!CIP1072P265F2600</f>
        <v>0</v>
      </c>
      <c r="N42" s="259">
        <f t="shared" si="3"/>
        <v>0</v>
      </c>
      <c r="O42" s="362"/>
      <c r="P42" s="266">
        <v>24</v>
      </c>
    </row>
    <row r="43" spans="1:16" ht="12" customHeight="1">
      <c r="A43" s="165"/>
      <c r="B43" s="36"/>
      <c r="C43" s="209" t="s">
        <v>242</v>
      </c>
      <c r="D43" s="209"/>
      <c r="E43" s="208">
        <v>25</v>
      </c>
      <c r="F43" s="362"/>
      <c r="G43" s="299"/>
      <c r="H43" s="265"/>
      <c r="I43" s="265"/>
      <c r="J43" s="265"/>
      <c r="K43" s="265"/>
      <c r="L43" s="265"/>
      <c r="M43" s="257">
        <f>[2]!CIP1072P265F2900</f>
        <v>0</v>
      </c>
      <c r="N43" s="259">
        <f t="shared" si="3"/>
        <v>0</v>
      </c>
      <c r="O43" s="362"/>
      <c r="P43" s="266">
        <v>25</v>
      </c>
    </row>
    <row r="44" spans="1:16" ht="12" customHeight="1">
      <c r="A44" s="210"/>
      <c r="B44" s="158" t="s">
        <v>222</v>
      </c>
      <c r="C44" s="242"/>
      <c r="D44" s="242"/>
      <c r="E44" s="205">
        <v>26</v>
      </c>
      <c r="F44" s="362"/>
      <c r="G44" s="299"/>
      <c r="H44" s="257">
        <f aca="true" t="shared" si="4" ref="H44:N44">SUM(H33:H43)</f>
        <v>0</v>
      </c>
      <c r="I44" s="257">
        <f t="shared" si="4"/>
        <v>0</v>
      </c>
      <c r="J44" s="257">
        <f t="shared" si="4"/>
        <v>0</v>
      </c>
      <c r="K44" s="257">
        <f t="shared" si="4"/>
        <v>0</v>
      </c>
      <c r="L44" s="257">
        <f t="shared" si="4"/>
        <v>0</v>
      </c>
      <c r="M44" s="257">
        <f t="shared" si="4"/>
        <v>0</v>
      </c>
      <c r="N44" s="257">
        <f t="shared" si="4"/>
        <v>0</v>
      </c>
      <c r="O44" s="362"/>
      <c r="P44" s="266">
        <v>26</v>
      </c>
    </row>
    <row r="45" spans="1:16" ht="12" customHeight="1">
      <c r="A45" s="165" t="s">
        <v>213</v>
      </c>
      <c r="B45" s="36"/>
      <c r="C45" s="209"/>
      <c r="D45" s="209"/>
      <c r="E45" s="208"/>
      <c r="F45" s="360"/>
      <c r="G45" s="620"/>
      <c r="H45" s="290"/>
      <c r="I45" s="290"/>
      <c r="J45" s="290"/>
      <c r="K45" s="290"/>
      <c r="L45" s="290"/>
      <c r="M45" s="638">
        <f>[2]!CIP1072P435F2700</f>
        <v>0</v>
      </c>
      <c r="N45" s="638">
        <f>SUM(H47:L47)</f>
        <v>0</v>
      </c>
      <c r="O45" s="360"/>
      <c r="P45" s="266"/>
    </row>
    <row r="46" spans="1:16" ht="12" customHeight="1">
      <c r="A46" s="165"/>
      <c r="B46" s="36" t="s">
        <v>307</v>
      </c>
      <c r="C46" s="209"/>
      <c r="D46" s="209"/>
      <c r="E46" s="208"/>
      <c r="F46" s="363"/>
      <c r="G46" s="621"/>
      <c r="H46" s="345"/>
      <c r="I46" s="345"/>
      <c r="J46" s="345"/>
      <c r="K46" s="345"/>
      <c r="L46" s="345"/>
      <c r="M46" s="639"/>
      <c r="N46" s="639"/>
      <c r="O46" s="363"/>
      <c r="P46" s="266"/>
    </row>
    <row r="47" spans="1:16" ht="12" customHeight="1">
      <c r="A47" s="165"/>
      <c r="B47" s="36"/>
      <c r="C47" s="209" t="s">
        <v>305</v>
      </c>
      <c r="D47" s="209"/>
      <c r="E47" s="208">
        <v>27</v>
      </c>
      <c r="F47" s="361"/>
      <c r="G47" s="622"/>
      <c r="H47" s="356"/>
      <c r="I47" s="356"/>
      <c r="J47" s="356"/>
      <c r="K47" s="356"/>
      <c r="L47" s="356"/>
      <c r="M47" s="640"/>
      <c r="N47" s="640"/>
      <c r="O47" s="361"/>
      <c r="P47" s="266">
        <v>27</v>
      </c>
    </row>
    <row r="48" spans="1:16" ht="12" customHeight="1">
      <c r="A48" s="268" t="s">
        <v>86</v>
      </c>
      <c r="B48" s="267"/>
      <c r="C48" s="267"/>
      <c r="D48" s="267"/>
      <c r="E48" s="213">
        <v>28</v>
      </c>
      <c r="F48" s="310">
        <f>[1]!CIP1072EndBal</f>
        <v>0</v>
      </c>
      <c r="G48" s="310">
        <f>G32</f>
        <v>0</v>
      </c>
      <c r="H48" s="259">
        <f>SUM(H44:H47)</f>
        <v>0</v>
      </c>
      <c r="I48" s="259">
        <f aca="true" t="shared" si="5" ref="I48:N48">SUM(I44:I47)</f>
        <v>0</v>
      </c>
      <c r="J48" s="259">
        <f t="shared" si="5"/>
        <v>0</v>
      </c>
      <c r="K48" s="259">
        <f t="shared" si="5"/>
        <v>0</v>
      </c>
      <c r="L48" s="259">
        <f t="shared" si="5"/>
        <v>0</v>
      </c>
      <c r="M48" s="259">
        <f t="shared" si="5"/>
        <v>0</v>
      </c>
      <c r="N48" s="259">
        <f t="shared" si="5"/>
        <v>0</v>
      </c>
      <c r="O48" s="336">
        <f>F48+G48-N48</f>
        <v>0</v>
      </c>
      <c r="P48" s="266">
        <v>28</v>
      </c>
    </row>
  </sheetData>
  <sheetProtection sheet="1" formatCells="0" formatColumns="0" formatRows="0"/>
  <mergeCells count="40">
    <mergeCell ref="N33:N35"/>
    <mergeCell ref="F28:F29"/>
    <mergeCell ref="F6:F7"/>
    <mergeCell ref="M3:N3"/>
    <mergeCell ref="M14:M15"/>
    <mergeCell ref="M45:M47"/>
    <mergeCell ref="K6:K7"/>
    <mergeCell ref="L6:L7"/>
    <mergeCell ref="N23:N25"/>
    <mergeCell ref="M23:M25"/>
    <mergeCell ref="D1:E1"/>
    <mergeCell ref="J1:K1"/>
    <mergeCell ref="A27:L27"/>
    <mergeCell ref="N45:N47"/>
    <mergeCell ref="M36:M37"/>
    <mergeCell ref="N36:N37"/>
    <mergeCell ref="M33:M35"/>
    <mergeCell ref="H6:H7"/>
    <mergeCell ref="I6:I7"/>
    <mergeCell ref="J6:J7"/>
    <mergeCell ref="K28:K29"/>
    <mergeCell ref="L28:L29"/>
    <mergeCell ref="M6:M7"/>
    <mergeCell ref="O6:O7"/>
    <mergeCell ref="G11:G13"/>
    <mergeCell ref="G23:G25"/>
    <mergeCell ref="M11:M13"/>
    <mergeCell ref="N11:N13"/>
    <mergeCell ref="G14:G15"/>
    <mergeCell ref="G6:G7"/>
    <mergeCell ref="G45:G47"/>
    <mergeCell ref="M28:M29"/>
    <mergeCell ref="N28:N29"/>
    <mergeCell ref="O28:O29"/>
    <mergeCell ref="N14:N15"/>
    <mergeCell ref="G28:G29"/>
    <mergeCell ref="G36:G37"/>
    <mergeCell ref="H28:H29"/>
    <mergeCell ref="I28:I29"/>
    <mergeCell ref="J28:J29"/>
  </mergeCells>
  <printOptions/>
  <pageMargins left="0.75" right="0.25" top="0.25" bottom="0.25" header="0.5" footer="0.15"/>
  <pageSetup fitToHeight="1" fitToWidth="1" horizontalDpi="600" verticalDpi="600" orientation="landscape" paperSize="5"/>
  <headerFooter alignWithMargins="0">
    <oddFooter>&amp;LRev. 8/18&amp;CFY 2018&amp;RPage 6 of 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37"/>
  <sheetViews>
    <sheetView showGridLines="0" workbookViewId="0" topLeftCell="A19">
      <selection activeCell="G34" sqref="G34"/>
    </sheetView>
  </sheetViews>
  <sheetFormatPr defaultColWidth="9.33203125" defaultRowHeight="12.75"/>
  <cols>
    <col min="1" max="1" width="3.83203125" style="3" customWidth="1"/>
    <col min="2" max="2" width="30.5" style="3" customWidth="1"/>
    <col min="3" max="3" width="2.16015625" style="3" customWidth="1"/>
    <col min="4" max="4" width="13.83203125" style="3" bestFit="1" customWidth="1"/>
    <col min="5" max="5" width="3" style="3" customWidth="1"/>
    <col min="6" max="7" width="12.83203125" style="3" customWidth="1"/>
    <col min="8" max="8" width="3.33203125" style="3" customWidth="1"/>
    <col min="9" max="9" width="3.83203125" style="3" customWidth="1"/>
    <col min="10" max="10" width="2.5" style="3" customWidth="1"/>
    <col min="11" max="11" width="6.5" style="3" customWidth="1"/>
    <col min="12" max="12" width="16" style="3" bestFit="1" customWidth="1"/>
    <col min="13" max="14" width="4.83203125" style="3" customWidth="1"/>
    <col min="15" max="15" width="7.5" style="3" customWidth="1"/>
    <col min="16" max="16" width="6.83203125" style="3" customWidth="1"/>
    <col min="17" max="17" width="9.66015625" style="3" customWidth="1"/>
    <col min="18" max="18" width="17" style="3" customWidth="1"/>
    <col min="19" max="19" width="15" style="3" customWidth="1"/>
    <col min="20" max="20" width="15.5" style="3" customWidth="1"/>
    <col min="21" max="21" width="12.83203125" style="3" customWidth="1"/>
    <col min="22" max="22" width="15.83203125" style="3" customWidth="1"/>
    <col min="23" max="16384" width="9.33203125" style="3" customWidth="1"/>
  </cols>
  <sheetData>
    <row r="1" spans="1:21" ht="12" customHeight="1">
      <c r="A1" s="1" t="s">
        <v>422</v>
      </c>
      <c r="C1" s="560" t="str">
        <f>'Cover Page'!D1</f>
        <v>George Gervin Youth Center, Inc. </v>
      </c>
      <c r="D1" s="560"/>
      <c r="E1" s="560"/>
      <c r="F1" s="560"/>
      <c r="G1" s="2"/>
      <c r="H1" s="3" t="s">
        <v>425</v>
      </c>
      <c r="I1" s="1" t="s">
        <v>423</v>
      </c>
      <c r="L1" s="11" t="str">
        <f>'Cover Page'!M1</f>
        <v>Maricopa</v>
      </c>
      <c r="T1" s="4" t="s">
        <v>399</v>
      </c>
      <c r="U1" s="246" t="str">
        <f>'Cover Page'!R1</f>
        <v>078585000</v>
      </c>
    </row>
    <row r="2" spans="20:21" ht="12" hidden="1">
      <c r="T2" s="7"/>
      <c r="U2" s="7"/>
    </row>
    <row r="3" ht="12.75">
      <c r="V3" s="372"/>
    </row>
    <row r="4" spans="1:21" ht="12.75">
      <c r="A4" s="6" t="s">
        <v>472</v>
      </c>
      <c r="B4" s="7"/>
      <c r="C4" s="7"/>
      <c r="D4" s="7"/>
      <c r="E4" s="7"/>
      <c r="F4" s="7"/>
      <c r="G4" s="7"/>
      <c r="H4" s="7"/>
      <c r="I4" s="7"/>
      <c r="J4" s="7"/>
      <c r="K4" s="7"/>
      <c r="L4" s="7"/>
      <c r="M4" s="7"/>
      <c r="N4" s="7"/>
      <c r="O4" s="7"/>
      <c r="P4" s="7"/>
      <c r="Q4" s="7"/>
      <c r="R4" s="7"/>
      <c r="S4" s="7"/>
      <c r="T4" s="7"/>
      <c r="U4" s="7"/>
    </row>
    <row r="5" spans="4:21" ht="12.75">
      <c r="D5" s="243">
        <v>42917</v>
      </c>
      <c r="E5" s="47"/>
      <c r="F5" s="243">
        <v>43281</v>
      </c>
      <c r="U5" s="2"/>
    </row>
    <row r="6" spans="1:20" ht="12.75">
      <c r="A6" s="3" t="s">
        <v>473</v>
      </c>
      <c r="B6" s="3" t="s">
        <v>479</v>
      </c>
      <c r="C6" s="10" t="s">
        <v>474</v>
      </c>
      <c r="D6" s="338">
        <f>[1]!CashBal</f>
        <v>231379</v>
      </c>
      <c r="E6" s="10" t="s">
        <v>474</v>
      </c>
      <c r="F6" s="13">
        <v>68907</v>
      </c>
      <c r="I6" s="3" t="s">
        <v>329</v>
      </c>
      <c r="J6" s="457" t="s">
        <v>428</v>
      </c>
      <c r="K6" s="452" t="s">
        <v>264</v>
      </c>
      <c r="L6" s="457"/>
      <c r="M6" s="452"/>
      <c r="N6" s="457"/>
      <c r="O6" s="452"/>
      <c r="P6" s="457"/>
      <c r="Q6" s="452"/>
      <c r="T6" s="13">
        <v>14</v>
      </c>
    </row>
    <row r="7" spans="1:20" ht="12.75">
      <c r="A7" s="228"/>
      <c r="B7" s="228"/>
      <c r="C7" s="228"/>
      <c r="D7" s="512"/>
      <c r="E7" s="228"/>
      <c r="F7" s="512"/>
      <c r="J7" s="457" t="s">
        <v>429</v>
      </c>
      <c r="K7" s="452" t="s">
        <v>265</v>
      </c>
      <c r="L7" s="457"/>
      <c r="M7" s="452"/>
      <c r="N7" s="457"/>
      <c r="O7" s="452"/>
      <c r="P7" s="457"/>
      <c r="Q7" s="452"/>
      <c r="T7" s="13">
        <v>3</v>
      </c>
    </row>
    <row r="8" spans="1:20" ht="12.75">
      <c r="A8" s="47" t="s">
        <v>478</v>
      </c>
      <c r="B8" s="452" t="s">
        <v>481</v>
      </c>
      <c r="C8" s="48"/>
      <c r="D8" s="47"/>
      <c r="E8" s="48"/>
      <c r="F8" s="367" t="s">
        <v>457</v>
      </c>
      <c r="G8" s="367" t="s">
        <v>426</v>
      </c>
      <c r="J8" s="457" t="s">
        <v>430</v>
      </c>
      <c r="K8" s="452" t="s">
        <v>266</v>
      </c>
      <c r="L8" s="457"/>
      <c r="M8" s="452"/>
      <c r="N8" s="457"/>
      <c r="O8" s="452"/>
      <c r="P8" s="457"/>
      <c r="Q8" s="452"/>
      <c r="T8" s="236">
        <v>0</v>
      </c>
    </row>
    <row r="9" spans="1:20" ht="12.75">
      <c r="A9" s="47"/>
      <c r="B9" s="47" t="s">
        <v>375</v>
      </c>
      <c r="C9" s="48"/>
      <c r="D9" s="47"/>
      <c r="E9" s="48"/>
      <c r="F9" s="67">
        <v>0</v>
      </c>
      <c r="G9" s="67">
        <v>19500</v>
      </c>
      <c r="J9" s="72" t="s">
        <v>431</v>
      </c>
      <c r="K9" s="3" t="s">
        <v>475</v>
      </c>
      <c r="T9" s="14">
        <v>1</v>
      </c>
    </row>
    <row r="10" spans="1:20" ht="13.5" thickBot="1">
      <c r="A10" s="47"/>
      <c r="B10" s="47" t="s">
        <v>376</v>
      </c>
      <c r="C10" s="47"/>
      <c r="D10" s="47"/>
      <c r="E10" s="47"/>
      <c r="F10" s="68">
        <v>0</v>
      </c>
      <c r="G10" s="68">
        <v>0</v>
      </c>
      <c r="J10" s="72" t="s">
        <v>432</v>
      </c>
      <c r="K10" s="3" t="s">
        <v>476</v>
      </c>
      <c r="T10" s="13">
        <v>180</v>
      </c>
    </row>
    <row r="11" spans="1:20" ht="13.5" thickBot="1">
      <c r="A11" s="47"/>
      <c r="B11" s="47" t="s">
        <v>394</v>
      </c>
      <c r="C11" s="47"/>
      <c r="D11" s="47"/>
      <c r="E11" s="47"/>
      <c r="F11" s="73">
        <f>SUM(F9:F10)</f>
        <v>0</v>
      </c>
      <c r="G11" s="69">
        <f>SUM(G9:G10)</f>
        <v>19500</v>
      </c>
      <c r="J11" s="87" t="s">
        <v>433</v>
      </c>
      <c r="K11" s="3" t="s">
        <v>250</v>
      </c>
      <c r="S11" s="10" t="s">
        <v>474</v>
      </c>
      <c r="T11" s="14">
        <v>0</v>
      </c>
    </row>
    <row r="12" spans="10:20" ht="13.5" thickTop="1">
      <c r="J12" s="87" t="s">
        <v>434</v>
      </c>
      <c r="K12" s="3" t="s">
        <v>306</v>
      </c>
      <c r="S12" s="10" t="s">
        <v>474</v>
      </c>
      <c r="T12" s="14">
        <v>0</v>
      </c>
    </row>
    <row r="13" spans="1:20" ht="12.75">
      <c r="A13" s="3" t="s">
        <v>480</v>
      </c>
      <c r="B13" s="452" t="s">
        <v>483</v>
      </c>
      <c r="F13" s="21" t="s">
        <v>457</v>
      </c>
      <c r="G13" s="21" t="s">
        <v>426</v>
      </c>
      <c r="J13" s="87" t="s">
        <v>436</v>
      </c>
      <c r="K13" s="3" t="s">
        <v>295</v>
      </c>
      <c r="S13" s="10" t="s">
        <v>474</v>
      </c>
      <c r="T13" s="238">
        <v>12104</v>
      </c>
    </row>
    <row r="14" spans="2:21" ht="12.75">
      <c r="B14" s="47" t="s">
        <v>286</v>
      </c>
      <c r="C14" s="47"/>
      <c r="D14" s="47"/>
      <c r="E14" s="47"/>
      <c r="F14" s="182">
        <f>[2]!CA0191Land</f>
        <v>0</v>
      </c>
      <c r="G14" s="17">
        <v>0</v>
      </c>
      <c r="J14" s="87"/>
      <c r="T14" s="10"/>
      <c r="U14" s="507"/>
    </row>
    <row r="15" spans="2:21" ht="12.75">
      <c r="B15" s="47" t="s">
        <v>287</v>
      </c>
      <c r="C15" s="47"/>
      <c r="D15" s="47"/>
      <c r="E15" s="47"/>
      <c r="F15" s="182">
        <f>[2]!CA0192SiteImprovements</f>
        <v>0</v>
      </c>
      <c r="G15" s="17">
        <v>0</v>
      </c>
      <c r="J15" s="47"/>
      <c r="K15" s="47"/>
      <c r="L15" s="47"/>
      <c r="M15" s="47"/>
      <c r="N15" s="47"/>
      <c r="O15" s="47"/>
      <c r="P15" s="47"/>
      <c r="Q15" s="47"/>
      <c r="R15" s="47"/>
      <c r="S15" s="47"/>
      <c r="T15" s="47"/>
      <c r="U15" s="47"/>
    </row>
    <row r="16" spans="2:20" ht="12.75" customHeight="1">
      <c r="B16" s="47" t="s">
        <v>288</v>
      </c>
      <c r="C16" s="47"/>
      <c r="D16" s="47"/>
      <c r="E16" s="47"/>
      <c r="F16" s="182">
        <f>[2]!CA0194Buildings</f>
        <v>0</v>
      </c>
      <c r="G16" s="17">
        <v>0</v>
      </c>
      <c r="M16" s="657" t="s">
        <v>227</v>
      </c>
      <c r="N16" s="658"/>
      <c r="O16" s="659"/>
      <c r="P16" s="657" t="s">
        <v>230</v>
      </c>
      <c r="Q16" s="659"/>
      <c r="R16" s="514" t="s">
        <v>227</v>
      </c>
      <c r="S16" s="514" t="s">
        <v>230</v>
      </c>
      <c r="T16" s="514" t="s">
        <v>234</v>
      </c>
    </row>
    <row r="17" spans="2:21" ht="12.75" customHeight="1">
      <c r="B17" s="47" t="s">
        <v>289</v>
      </c>
      <c r="C17" s="47"/>
      <c r="D17" s="47"/>
      <c r="E17" s="47"/>
      <c r="F17" s="182">
        <f>[2]!CA0196Equipment</f>
        <v>0</v>
      </c>
      <c r="G17" s="17">
        <v>168828</v>
      </c>
      <c r="I17" s="3" t="s">
        <v>477</v>
      </c>
      <c r="J17" s="452" t="s">
        <v>159</v>
      </c>
      <c r="K17" s="452"/>
      <c r="L17" s="452"/>
      <c r="M17" s="662" t="s">
        <v>226</v>
      </c>
      <c r="N17" s="663"/>
      <c r="O17" s="664"/>
      <c r="P17" s="662" t="s">
        <v>226</v>
      </c>
      <c r="Q17" s="664"/>
      <c r="R17" s="510" t="s">
        <v>231</v>
      </c>
      <c r="S17" s="510" t="s">
        <v>231</v>
      </c>
      <c r="T17" s="510" t="s">
        <v>226</v>
      </c>
      <c r="U17" s="2"/>
    </row>
    <row r="18" spans="2:21" ht="12.75" customHeight="1" thickBot="1">
      <c r="B18" s="452" t="s">
        <v>290</v>
      </c>
      <c r="C18" s="47"/>
      <c r="D18" s="47"/>
      <c r="E18" s="47"/>
      <c r="F18" s="182">
        <f>[2]!CA0198CIP</f>
        <v>0</v>
      </c>
      <c r="G18" s="18">
        <v>0</v>
      </c>
      <c r="J18" s="452" t="s">
        <v>267</v>
      </c>
      <c r="K18" s="452"/>
      <c r="L18" s="452"/>
      <c r="M18" s="650" t="s">
        <v>228</v>
      </c>
      <c r="N18" s="651"/>
      <c r="O18" s="652"/>
      <c r="P18" s="650" t="s">
        <v>229</v>
      </c>
      <c r="Q18" s="652"/>
      <c r="R18" s="511" t="s">
        <v>232</v>
      </c>
      <c r="S18" s="511" t="s">
        <v>233</v>
      </c>
      <c r="T18" s="511" t="s">
        <v>235</v>
      </c>
      <c r="U18" s="2"/>
    </row>
    <row r="19" spans="2:21" ht="12.75" customHeight="1" thickBot="1">
      <c r="B19" t="s">
        <v>243</v>
      </c>
      <c r="C19"/>
      <c r="D19"/>
      <c r="E19" s="47"/>
      <c r="F19" s="69">
        <f>SUM(F14:F18)</f>
        <v>0</v>
      </c>
      <c r="G19" s="19">
        <f>SUM(G14:G18)</f>
        <v>168828</v>
      </c>
      <c r="J19" s="457" t="s">
        <v>428</v>
      </c>
      <c r="K19" s="452" t="s">
        <v>158</v>
      </c>
      <c r="L19" s="452"/>
      <c r="M19" s="653">
        <f>484191-33613</f>
        <v>450578</v>
      </c>
      <c r="N19" s="654"/>
      <c r="O19" s="656"/>
      <c r="P19" s="653">
        <v>179748</v>
      </c>
      <c r="Q19" s="654"/>
      <c r="R19" s="237">
        <v>15300</v>
      </c>
      <c r="S19" s="237">
        <v>0</v>
      </c>
      <c r="T19" s="237">
        <v>0</v>
      </c>
      <c r="U19" s="2"/>
    </row>
    <row r="20" spans="10:21" ht="13.5" customHeight="1" thickTop="1">
      <c r="J20" s="457" t="s">
        <v>429</v>
      </c>
      <c r="K20" s="452" t="s">
        <v>157</v>
      </c>
      <c r="L20" s="452"/>
      <c r="M20" s="653">
        <v>33613</v>
      </c>
      <c r="N20" s="654"/>
      <c r="O20" s="656"/>
      <c r="P20" s="653">
        <v>0</v>
      </c>
      <c r="Q20" s="654"/>
      <c r="R20" s="237">
        <v>0</v>
      </c>
      <c r="S20" s="237">
        <v>0</v>
      </c>
      <c r="T20" s="237">
        <v>0</v>
      </c>
      <c r="U20" s="2"/>
    </row>
    <row r="21" spans="1:21" ht="12.75">
      <c r="A21" s="3" t="s">
        <v>482</v>
      </c>
      <c r="B21" s="452" t="s">
        <v>39</v>
      </c>
      <c r="C21" s="452"/>
      <c r="D21" s="452"/>
      <c r="E21" s="452"/>
      <c r="F21" s="452"/>
      <c r="J21" s="457" t="s">
        <v>430</v>
      </c>
      <c r="K21" s="452" t="s">
        <v>156</v>
      </c>
      <c r="L21" s="452"/>
      <c r="M21" s="653">
        <v>0</v>
      </c>
      <c r="N21" s="654"/>
      <c r="O21" s="656"/>
      <c r="P21" s="653">
        <v>0</v>
      </c>
      <c r="Q21" s="654"/>
      <c r="R21" s="237">
        <v>0</v>
      </c>
      <c r="S21" s="237">
        <v>0</v>
      </c>
      <c r="T21" s="237">
        <v>0</v>
      </c>
      <c r="U21" s="507"/>
    </row>
    <row r="22" spans="1:21" ht="13.5" customHeight="1">
      <c r="A22" s="47"/>
      <c r="B22" s="47" t="s">
        <v>286</v>
      </c>
      <c r="C22" s="47"/>
      <c r="D22" s="47"/>
      <c r="E22" s="10" t="s">
        <v>474</v>
      </c>
      <c r="F22" s="13">
        <v>0</v>
      </c>
      <c r="J22" s="457" t="s">
        <v>431</v>
      </c>
      <c r="K22" s="452" t="s">
        <v>155</v>
      </c>
      <c r="L22" s="452"/>
      <c r="M22" s="653">
        <v>0</v>
      </c>
      <c r="N22" s="654"/>
      <c r="O22" s="656"/>
      <c r="P22" s="653">
        <v>0</v>
      </c>
      <c r="Q22" s="656"/>
      <c r="R22" s="237">
        <v>0</v>
      </c>
      <c r="S22" s="237">
        <v>0</v>
      </c>
      <c r="T22" s="237">
        <v>0</v>
      </c>
      <c r="U22" s="507"/>
    </row>
    <row r="23" spans="1:21" ht="13.5" customHeight="1">
      <c r="A23" s="47"/>
      <c r="B23" s="47" t="s">
        <v>287</v>
      </c>
      <c r="C23" s="47"/>
      <c r="D23" s="47"/>
      <c r="E23" s="10" t="s">
        <v>474</v>
      </c>
      <c r="F23" s="13">
        <v>0</v>
      </c>
      <c r="J23" s="457" t="s">
        <v>432</v>
      </c>
      <c r="K23" s="660" t="s">
        <v>268</v>
      </c>
      <c r="L23" s="661"/>
      <c r="M23" s="648">
        <v>0</v>
      </c>
      <c r="N23" s="648"/>
      <c r="O23" s="648"/>
      <c r="P23" s="648">
        <v>0</v>
      </c>
      <c r="Q23" s="648"/>
      <c r="R23" s="648">
        <v>0</v>
      </c>
      <c r="S23" s="648">
        <v>0</v>
      </c>
      <c r="T23" s="648">
        <v>0</v>
      </c>
      <c r="U23" s="507"/>
    </row>
    <row r="24" spans="1:21" ht="13.5" customHeight="1">
      <c r="A24" s="47"/>
      <c r="B24" s="47" t="s">
        <v>288</v>
      </c>
      <c r="C24" s="47"/>
      <c r="D24" s="47"/>
      <c r="E24" s="10" t="s">
        <v>474</v>
      </c>
      <c r="F24" s="14">
        <v>0</v>
      </c>
      <c r="J24" s="458"/>
      <c r="K24" s="660"/>
      <c r="L24" s="661"/>
      <c r="M24" s="648"/>
      <c r="N24" s="648"/>
      <c r="O24" s="648"/>
      <c r="P24" s="648"/>
      <c r="Q24" s="648"/>
      <c r="R24" s="648"/>
      <c r="S24" s="648"/>
      <c r="T24" s="648"/>
      <c r="U24" s="507"/>
    </row>
    <row r="25" spans="1:21" ht="13.5" customHeight="1">
      <c r="A25" s="47"/>
      <c r="B25" s="47" t="s">
        <v>289</v>
      </c>
      <c r="C25" s="47"/>
      <c r="D25" s="47"/>
      <c r="E25" s="10" t="s">
        <v>474</v>
      </c>
      <c r="F25" s="13">
        <v>168828</v>
      </c>
      <c r="M25" s="513"/>
      <c r="N25" s="513"/>
      <c r="O25" s="513"/>
      <c r="P25" s="513"/>
      <c r="Q25" s="513"/>
      <c r="R25" s="513"/>
      <c r="S25" s="513"/>
      <c r="T25" s="513"/>
      <c r="U25" s="513"/>
    </row>
    <row r="26" spans="1:21" ht="13.5" customHeight="1">
      <c r="A26" s="47"/>
      <c r="B26" s="452" t="s">
        <v>290</v>
      </c>
      <c r="C26" s="47"/>
      <c r="D26" s="47"/>
      <c r="E26" s="10" t="s">
        <v>474</v>
      </c>
      <c r="F26" s="13">
        <v>0</v>
      </c>
      <c r="M26" s="507"/>
      <c r="N26" s="507"/>
      <c r="O26" s="507"/>
      <c r="P26" s="507"/>
      <c r="Q26" s="507"/>
      <c r="R26" s="507"/>
      <c r="S26" s="507"/>
      <c r="T26" s="507"/>
      <c r="U26" s="507"/>
    </row>
    <row r="27" spans="1:10" ht="15.75" customHeight="1" thickBot="1">
      <c r="A27" s="47"/>
      <c r="B27" t="s">
        <v>263</v>
      </c>
      <c r="C27" s="47"/>
      <c r="D27" s="47"/>
      <c r="E27" s="10" t="s">
        <v>474</v>
      </c>
      <c r="F27" s="15">
        <f>SUM(F22:F26)</f>
        <v>168828</v>
      </c>
      <c r="I27" s="516" t="s">
        <v>22</v>
      </c>
      <c r="J27" s="3" t="s">
        <v>27</v>
      </c>
    </row>
    <row r="28" spans="9:20" ht="13.5" customHeight="1" thickTop="1">
      <c r="I28" s="87"/>
      <c r="J28" s="522" t="s">
        <v>428</v>
      </c>
      <c r="K28" s="520" t="s">
        <v>31</v>
      </c>
      <c r="L28" s="519"/>
      <c r="M28" s="519"/>
      <c r="N28" s="515"/>
      <c r="O28" s="2"/>
      <c r="P28" s="2"/>
      <c r="Q28" s="2"/>
      <c r="R28" s="2"/>
      <c r="S28" s="251" t="s">
        <v>474</v>
      </c>
      <c r="T28" s="248">
        <v>501510</v>
      </c>
    </row>
    <row r="29" spans="1:20" ht="13.5" customHeight="1">
      <c r="A29" s="3" t="s">
        <v>511</v>
      </c>
      <c r="B29" s="452" t="s">
        <v>368</v>
      </c>
      <c r="C29" s="452"/>
      <c r="D29" s="452"/>
      <c r="E29" s="453"/>
      <c r="G29" s="247"/>
      <c r="I29" s="87"/>
      <c r="J29" s="522" t="s">
        <v>429</v>
      </c>
      <c r="K29" s="2" t="s">
        <v>32</v>
      </c>
      <c r="L29" s="474"/>
      <c r="M29" s="474"/>
      <c r="N29" s="2"/>
      <c r="O29" s="2"/>
      <c r="P29" s="2"/>
      <c r="Q29" s="2"/>
      <c r="R29" s="2"/>
      <c r="S29" s="251" t="s">
        <v>474</v>
      </c>
      <c r="T29" s="248">
        <v>6334</v>
      </c>
    </row>
    <row r="30" spans="2:20" ht="12.75">
      <c r="B30" s="454" t="s">
        <v>296</v>
      </c>
      <c r="C30" s="452"/>
      <c r="D30" s="452"/>
      <c r="E30" s="455"/>
      <c r="F30" s="251" t="s">
        <v>474</v>
      </c>
      <c r="G30" s="248">
        <v>1025735</v>
      </c>
      <c r="I30" s="87"/>
      <c r="J30" s="522" t="s">
        <v>430</v>
      </c>
      <c r="K30" s="2" t="s">
        <v>33</v>
      </c>
      <c r="L30" s="517"/>
      <c r="M30" s="517"/>
      <c r="N30" s="2"/>
      <c r="O30" s="2"/>
      <c r="P30" s="2"/>
      <c r="Q30" s="2"/>
      <c r="R30" s="2"/>
      <c r="S30" s="251" t="s">
        <v>474</v>
      </c>
      <c r="T30" s="248">
        <v>6334</v>
      </c>
    </row>
    <row r="31" spans="2:20" ht="13.5" thickBot="1">
      <c r="B31" s="454" t="s">
        <v>260</v>
      </c>
      <c r="C31" s="456"/>
      <c r="D31" s="456"/>
      <c r="E31" s="456"/>
      <c r="F31" s="251" t="s">
        <v>474</v>
      </c>
      <c r="G31" s="248">
        <v>34334</v>
      </c>
      <c r="J31" s="521" t="s">
        <v>431</v>
      </c>
      <c r="K31" s="228" t="s">
        <v>4</v>
      </c>
      <c r="L31" s="518"/>
      <c r="M31" s="518"/>
      <c r="N31" s="2"/>
      <c r="O31" s="2"/>
      <c r="P31" s="2"/>
      <c r="Q31" s="2"/>
      <c r="R31" s="2"/>
      <c r="S31" s="251" t="s">
        <v>474</v>
      </c>
      <c r="T31" s="250">
        <f>+T29-T30</f>
        <v>0</v>
      </c>
    </row>
    <row r="32" spans="2:7" ht="13.5" thickTop="1">
      <c r="B32" s="454" t="s">
        <v>261</v>
      </c>
      <c r="C32" s="456"/>
      <c r="D32" s="456"/>
      <c r="E32" s="456"/>
      <c r="F32" s="251" t="s">
        <v>474</v>
      </c>
      <c r="G32" s="249">
        <v>397294</v>
      </c>
    </row>
    <row r="33" spans="2:7" ht="13.5" customHeight="1">
      <c r="B33" s="454" t="s">
        <v>262</v>
      </c>
      <c r="C33" s="456"/>
      <c r="D33" s="456"/>
      <c r="E33" s="456"/>
      <c r="F33" s="251" t="s">
        <v>474</v>
      </c>
      <c r="G33" s="248">
        <v>116632</v>
      </c>
    </row>
    <row r="34" spans="2:7" ht="13.5" customHeight="1">
      <c r="B34" s="454" t="s">
        <v>299</v>
      </c>
      <c r="C34" s="452"/>
      <c r="D34" s="452"/>
      <c r="E34" s="456"/>
      <c r="F34" s="251" t="s">
        <v>474</v>
      </c>
      <c r="G34" s="248">
        <v>640737</v>
      </c>
    </row>
    <row r="35" spans="2:7" ht="13.5" thickBot="1">
      <c r="B35" s="252" t="s">
        <v>263</v>
      </c>
      <c r="C35" s="47"/>
      <c r="D35" s="47"/>
      <c r="E35" s="47"/>
      <c r="F35" s="251" t="s">
        <v>474</v>
      </c>
      <c r="G35" s="250">
        <f>SUM(G30:G34)</f>
        <v>2214732</v>
      </c>
    </row>
    <row r="36" spans="1:7" ht="43.5" customHeight="1" thickTop="1">
      <c r="A36" s="524"/>
      <c r="B36" s="649" t="s">
        <v>26</v>
      </c>
      <c r="C36" s="649"/>
      <c r="D36" s="649"/>
      <c r="E36" s="525"/>
      <c r="F36" s="251" t="s">
        <v>474</v>
      </c>
      <c r="G36" s="248">
        <v>100</v>
      </c>
    </row>
    <row r="37" spans="1:7" ht="42.75" customHeight="1">
      <c r="A37" s="524"/>
      <c r="B37" s="655" t="s">
        <v>25</v>
      </c>
      <c r="C37" s="655"/>
      <c r="D37" s="655"/>
      <c r="E37" s="655"/>
      <c r="F37" s="251" t="s">
        <v>474</v>
      </c>
      <c r="G37" s="523">
        <f>G35-G36</f>
        <v>2214632</v>
      </c>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sheetData>
  <sheetProtection sheet="1" formatCells="0" formatColumns="0" formatRows="0"/>
  <mergeCells count="23">
    <mergeCell ref="M16:O16"/>
    <mergeCell ref="K23:L24"/>
    <mergeCell ref="C1:F1"/>
    <mergeCell ref="P16:Q16"/>
    <mergeCell ref="P21:Q21"/>
    <mergeCell ref="M22:O22"/>
    <mergeCell ref="P22:Q22"/>
    <mergeCell ref="M17:O17"/>
    <mergeCell ref="P17:Q17"/>
    <mergeCell ref="B37:E37"/>
    <mergeCell ref="P18:Q18"/>
    <mergeCell ref="M19:O19"/>
    <mergeCell ref="P23:Q24"/>
    <mergeCell ref="M21:O21"/>
    <mergeCell ref="M20:O20"/>
    <mergeCell ref="S23:S24"/>
    <mergeCell ref="B36:D36"/>
    <mergeCell ref="T23:T24"/>
    <mergeCell ref="M23:O24"/>
    <mergeCell ref="M18:O18"/>
    <mergeCell ref="P20:Q20"/>
    <mergeCell ref="R23:R24"/>
    <mergeCell ref="P19:Q19"/>
  </mergeCells>
  <hyperlinks>
    <hyperlink ref="B8" location="AuditServices" display="AUDIT SERVICES"/>
    <hyperlink ref="B13" location="CapitalAcquisitions" display="CAPITAL ACQUISITIONS"/>
    <hyperlink ref="B21:F21" location="InvestmentInCapitalAssets" display="INVESTMENT IN CAPITAL ASSETS AS OF JUNE 30, 2013"/>
    <hyperlink ref="B29:D29" location="CurrentExpensesByCategory" display="CURRENT EXPENSES BY CATEGORY"/>
    <hyperlink ref="B30:E30" location="CurrentExpensesByCategoryLine1" display="1.  Classroom Instruction excluding Classroom Supplies"/>
    <hyperlink ref="B31" location="CurrentExpensesByCategoryLine2" display="2.  Classroom Supplies"/>
    <hyperlink ref="B32" location="CurrentExpensesByCategoryLine3" display="3.  Administration"/>
    <hyperlink ref="B33" location="CurrentExpensesByCategoryLine4" display="4.  Support Services - Students"/>
    <hyperlink ref="B34:D34" location="CurrentExpensesByCategoryLine5" display="5.  All Other Support Services and Operations"/>
    <hyperlink ref="J17:L18" location="TeacherSalaries" display="TEACHER SALARIES (1)"/>
    <hyperlink ref="J19:L19" location="TeacherSalariesLine1" display="1."/>
    <hyperlink ref="J20:L20" location="TeacherSalariesLine2" display="2."/>
    <hyperlink ref="J21:L21" location="TeacherSalariesLine3" display="3."/>
    <hyperlink ref="J22:L22" location="TeacherSalariesLine4" display="4."/>
    <hyperlink ref="B18" location="CapitalAcquisitionsLine5" display="5.  0198  Construction in Progress"/>
    <hyperlink ref="B26" location="InvestmentInCapitalAssetsLine5" display="5.  0198  Construction in Progress"/>
    <hyperlink ref="J6:Q8" location="FullTimeEquivalentTeachers" display="1."/>
    <hyperlink ref="J28" location="AdditionalTeacherSalaryLine1" display="1."/>
    <hyperlink ref="J29" location="AdditionalTeacherSalaryLine2" display="2."/>
    <hyperlink ref="J30" location="AdditionalTeacherSalaryLine3" display="3."/>
    <hyperlink ref="B36:D36" location="CurrentExpensesbyCategoryLines7and8" display="7. Current Expenses from Federal Projects, excluding those projects intended to replace local tax revenues (e.g., most Impact Aid Projects)"/>
    <hyperlink ref="B37:E37" location="CurrentExpensesbyCategoryLines7and8" display="8. Current Expenses from State and Local Projects, including those projects intended to replace local tax revenues (e.g., most Impact Aid Projects)"/>
  </hyperlinks>
  <printOptions horizontalCentered="1"/>
  <pageMargins left="1" right="0.25" top="0.5" bottom="0.25" header="0.5" footer="0.15"/>
  <pageSetup fitToHeight="1" fitToWidth="1" horizontalDpi="600" verticalDpi="600" orientation="landscape" paperSize="5" scale="88"/>
  <headerFooter alignWithMargins="0">
    <oddFooter>&amp;LRev. 8/18&amp;CFY 2018&amp;RPage 7 of 10</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Y31"/>
  <sheetViews>
    <sheetView showGridLines="0" zoomScaleSheetLayoutView="75" workbookViewId="0" topLeftCell="A1">
      <selection activeCell="J45" sqref="J45"/>
    </sheetView>
  </sheetViews>
  <sheetFormatPr defaultColWidth="9.33203125" defaultRowHeight="12.75" customHeight="1"/>
  <cols>
    <col min="1" max="1" width="2.83203125" style="3" customWidth="1"/>
    <col min="2" max="2" width="9.83203125" style="3" customWidth="1"/>
    <col min="3" max="3" width="10.5" style="3" customWidth="1"/>
    <col min="4" max="4" width="10.83203125" style="3" customWidth="1"/>
    <col min="5" max="17" width="6.83203125" style="3" customWidth="1"/>
    <col min="18" max="18" width="8.16015625" style="3" bestFit="1" customWidth="1"/>
    <col min="19" max="22" width="11.16015625" style="3" customWidth="1"/>
    <col min="23" max="23" width="3.83203125" style="3" customWidth="1"/>
    <col min="24" max="16384" width="9.33203125" style="3" customWidth="1"/>
  </cols>
  <sheetData>
    <row r="1" spans="1:22" ht="12.75" customHeight="1">
      <c r="A1" s="1" t="s">
        <v>422</v>
      </c>
      <c r="D1" s="560" t="str">
        <f>'Cover Page'!D1</f>
        <v>George Gervin Youth Center, Inc. </v>
      </c>
      <c r="E1" s="560"/>
      <c r="F1" s="560"/>
      <c r="G1" s="560"/>
      <c r="H1" s="2"/>
      <c r="I1" s="2"/>
      <c r="K1" s="4" t="s">
        <v>423</v>
      </c>
      <c r="L1" s="560" t="str">
        <f>'Cover Page'!M1</f>
        <v>Maricopa</v>
      </c>
      <c r="M1" s="560"/>
      <c r="P1" s="12"/>
      <c r="U1" s="4" t="s">
        <v>399</v>
      </c>
      <c r="V1" s="246" t="str">
        <f>'Cover Page'!R1</f>
        <v>078585000</v>
      </c>
    </row>
    <row r="2" spans="17:20" ht="12.75" customHeight="1">
      <c r="Q2" s="7"/>
      <c r="T2" s="7"/>
    </row>
    <row r="3" spans="1:25" ht="12.75" customHeight="1">
      <c r="A3" s="45" t="s">
        <v>377</v>
      </c>
      <c r="B3" s="7"/>
      <c r="C3" s="7"/>
      <c r="D3" s="7"/>
      <c r="E3" s="7"/>
      <c r="F3" s="7"/>
      <c r="G3" s="7"/>
      <c r="H3" s="7"/>
      <c r="I3" s="46"/>
      <c r="J3" s="46"/>
      <c r="K3" s="46"/>
      <c r="L3" s="46"/>
      <c r="M3" s="46"/>
      <c r="N3" s="46"/>
      <c r="O3" s="7"/>
      <c r="P3" s="7"/>
      <c r="Q3" s="7"/>
      <c r="R3" s="7"/>
      <c r="S3" s="7"/>
      <c r="T3" s="7"/>
      <c r="U3" s="7"/>
      <c r="Y3" s="4"/>
    </row>
    <row r="4" ht="6" customHeight="1"/>
    <row r="5" spans="1:6" ht="12.75" customHeight="1">
      <c r="A5" t="s">
        <v>355</v>
      </c>
      <c r="B5"/>
      <c r="C5"/>
      <c r="D5"/>
      <c r="E5"/>
      <c r="F5"/>
    </row>
    <row r="6" spans="5:20" ht="12.75" customHeight="1">
      <c r="E6" s="667" t="s">
        <v>485</v>
      </c>
      <c r="F6" s="668"/>
      <c r="G6" s="668"/>
      <c r="H6" s="668"/>
      <c r="I6" s="668"/>
      <c r="J6" s="668"/>
      <c r="K6" s="668"/>
      <c r="L6" s="668"/>
      <c r="M6" s="668"/>
      <c r="N6" s="668"/>
      <c r="O6" s="668"/>
      <c r="P6" s="668"/>
      <c r="Q6" s="668"/>
      <c r="R6" s="669"/>
      <c r="S6" s="20"/>
      <c r="T6" s="20"/>
    </row>
    <row r="7" spans="2:20" ht="12.75" customHeight="1">
      <c r="B7" s="3" t="s">
        <v>484</v>
      </c>
      <c r="E7" s="21" t="s">
        <v>486</v>
      </c>
      <c r="F7" s="21">
        <v>1</v>
      </c>
      <c r="G7" s="21">
        <v>2</v>
      </c>
      <c r="H7" s="21">
        <v>3</v>
      </c>
      <c r="I7" s="21">
        <v>4</v>
      </c>
      <c r="J7" s="21">
        <v>5</v>
      </c>
      <c r="K7" s="21">
        <v>6</v>
      </c>
      <c r="L7" s="21">
        <v>7</v>
      </c>
      <c r="M7" s="21">
        <v>8</v>
      </c>
      <c r="N7" s="21">
        <v>9</v>
      </c>
      <c r="O7" s="21">
        <v>10</v>
      </c>
      <c r="P7" s="21">
        <v>11</v>
      </c>
      <c r="Q7" s="21">
        <v>12</v>
      </c>
      <c r="R7" s="21" t="s">
        <v>455</v>
      </c>
      <c r="S7" s="22"/>
      <c r="T7" s="22"/>
    </row>
    <row r="8" spans="2:20" ht="12.75" customHeight="1">
      <c r="B8" s="3" t="s">
        <v>487</v>
      </c>
      <c r="E8" s="17"/>
      <c r="F8" s="17"/>
      <c r="G8" s="17"/>
      <c r="H8" s="17"/>
      <c r="I8" s="17"/>
      <c r="J8" s="17"/>
      <c r="K8" s="17"/>
      <c r="L8" s="17"/>
      <c r="M8" s="17"/>
      <c r="N8" s="17"/>
      <c r="O8" s="17"/>
      <c r="P8" s="17"/>
      <c r="Q8" s="17"/>
      <c r="R8" s="23">
        <f>SUM(E8:Q8)</f>
        <v>0</v>
      </c>
      <c r="S8" s="24" t="s">
        <v>428</v>
      </c>
      <c r="T8" s="2"/>
    </row>
    <row r="9" spans="2:20" ht="12.75" customHeight="1">
      <c r="B9" s="3" t="s">
        <v>488</v>
      </c>
      <c r="E9" s="17"/>
      <c r="F9" s="17"/>
      <c r="G9" s="17"/>
      <c r="H9" s="17"/>
      <c r="I9" s="17"/>
      <c r="J9" s="17"/>
      <c r="K9" s="17"/>
      <c r="L9" s="17"/>
      <c r="M9" s="17"/>
      <c r="N9" s="17"/>
      <c r="O9" s="17"/>
      <c r="P9" s="17"/>
      <c r="Q9" s="17"/>
      <c r="R9" s="23">
        <f>SUM(E9:Q9)</f>
        <v>0</v>
      </c>
      <c r="S9" s="24" t="s">
        <v>429</v>
      </c>
      <c r="T9" s="2"/>
    </row>
    <row r="10" spans="2:20" ht="12.75" customHeight="1" thickBot="1">
      <c r="B10" s="3" t="s">
        <v>489</v>
      </c>
      <c r="E10" s="25"/>
      <c r="F10" s="25"/>
      <c r="G10" s="25"/>
      <c r="H10" s="25"/>
      <c r="I10" s="25"/>
      <c r="J10" s="25"/>
      <c r="K10" s="25"/>
      <c r="L10" s="25"/>
      <c r="M10" s="25"/>
      <c r="N10" s="25"/>
      <c r="O10" s="25"/>
      <c r="P10" s="25"/>
      <c r="Q10" s="25"/>
      <c r="R10" s="26">
        <f>SUM(E10:Q10)</f>
        <v>0</v>
      </c>
      <c r="S10" s="24" t="s">
        <v>430</v>
      </c>
      <c r="T10" s="2"/>
    </row>
    <row r="11" spans="1:25" s="2" customFormat="1" ht="12.75" customHeight="1">
      <c r="A11" s="527"/>
      <c r="B11" s="2" t="s">
        <v>395</v>
      </c>
      <c r="C11" s="527"/>
      <c r="D11" s="527"/>
      <c r="E11" s="665">
        <f aca="true" t="shared" si="0" ref="E11:Q11">SUM(E8:E10)</f>
        <v>0</v>
      </c>
      <c r="F11" s="665">
        <f t="shared" si="0"/>
        <v>0</v>
      </c>
      <c r="G11" s="665">
        <f t="shared" si="0"/>
        <v>0</v>
      </c>
      <c r="H11" s="665">
        <f t="shared" si="0"/>
        <v>0</v>
      </c>
      <c r="I11" s="665">
        <f t="shared" si="0"/>
        <v>0</v>
      </c>
      <c r="J11" s="665">
        <f t="shared" si="0"/>
        <v>0</v>
      </c>
      <c r="K11" s="665">
        <f t="shared" si="0"/>
        <v>0</v>
      </c>
      <c r="L11" s="665">
        <f t="shared" si="0"/>
        <v>0</v>
      </c>
      <c r="M11" s="665">
        <f t="shared" si="0"/>
        <v>0</v>
      </c>
      <c r="N11" s="665">
        <f t="shared" si="0"/>
        <v>0</v>
      </c>
      <c r="O11" s="665">
        <f t="shared" si="0"/>
        <v>0</v>
      </c>
      <c r="P11" s="665">
        <f t="shared" si="0"/>
        <v>0</v>
      </c>
      <c r="Q11" s="665">
        <f t="shared" si="0"/>
        <v>0</v>
      </c>
      <c r="R11" s="665">
        <f>SUM(E11:Q11)</f>
        <v>0</v>
      </c>
      <c r="S11" s="27"/>
      <c r="T11" s="527"/>
      <c r="U11" s="527"/>
      <c r="V11" s="527"/>
      <c r="W11" s="527"/>
      <c r="X11" s="527"/>
      <c r="Y11" s="527"/>
    </row>
    <row r="12" spans="2:20" ht="13.5" thickBot="1">
      <c r="B12" s="3" t="s">
        <v>185</v>
      </c>
      <c r="E12" s="666"/>
      <c r="F12" s="666"/>
      <c r="G12" s="666"/>
      <c r="H12" s="666"/>
      <c r="I12" s="666"/>
      <c r="J12" s="666"/>
      <c r="K12" s="666"/>
      <c r="L12" s="666"/>
      <c r="M12" s="666"/>
      <c r="N12" s="666"/>
      <c r="O12" s="666"/>
      <c r="P12" s="666"/>
      <c r="Q12" s="666"/>
      <c r="R12" s="666"/>
      <c r="S12" s="24" t="s">
        <v>431</v>
      </c>
      <c r="T12" s="2"/>
    </row>
    <row r="13" ht="16.5" customHeight="1" thickTop="1"/>
    <row r="14" spans="1:17" ht="12.75" customHeight="1">
      <c r="A14" s="672" t="s">
        <v>128</v>
      </c>
      <c r="B14" s="672"/>
      <c r="C14" s="672"/>
      <c r="D14" s="672"/>
      <c r="E14" s="672"/>
      <c r="F14" s="493"/>
      <c r="G14" s="493"/>
      <c r="H14" s="228"/>
      <c r="K14" s="452" t="s">
        <v>127</v>
      </c>
      <c r="L14" s="452"/>
      <c r="M14" s="452"/>
      <c r="N14" s="452"/>
      <c r="O14" s="452"/>
      <c r="P14" s="452"/>
      <c r="Q14" s="452"/>
    </row>
    <row r="15" spans="1:20" ht="38.25" customHeight="1">
      <c r="A15" s="495"/>
      <c r="B15" s="673" t="s">
        <v>103</v>
      </c>
      <c r="C15" s="673"/>
      <c r="D15" s="673"/>
      <c r="E15" s="673"/>
      <c r="F15" s="493"/>
      <c r="G15" s="493"/>
      <c r="H15" s="228"/>
      <c r="S15" s="284" t="s">
        <v>204</v>
      </c>
      <c r="T15" s="284" t="s">
        <v>302</v>
      </c>
    </row>
    <row r="16" spans="1:21" ht="12.75" customHeight="1">
      <c r="A16" s="47"/>
      <c r="B16" s="35" t="s">
        <v>300</v>
      </c>
      <c r="E16" s="228"/>
      <c r="K16" s="65" t="s">
        <v>428</v>
      </c>
      <c r="L16" s="672" t="s">
        <v>88</v>
      </c>
      <c r="M16" s="672"/>
      <c r="N16" s="672"/>
      <c r="O16" s="672"/>
      <c r="P16" s="672"/>
      <c r="S16" s="466">
        <f>'[2]Page 2'!$N$5</f>
        <v>72257</v>
      </c>
      <c r="T16" s="76"/>
      <c r="U16" s="24" t="s">
        <v>428</v>
      </c>
    </row>
    <row r="17" spans="1:21" ht="12.75" customHeight="1">
      <c r="A17" s="47"/>
      <c r="B17" s="3" t="s">
        <v>512</v>
      </c>
      <c r="C17" s="10" t="s">
        <v>474</v>
      </c>
      <c r="D17" s="13"/>
      <c r="E17" s="228"/>
      <c r="K17" s="65" t="s">
        <v>429</v>
      </c>
      <c r="L17" s="670" t="s">
        <v>160</v>
      </c>
      <c r="M17" s="670"/>
      <c r="N17" s="670"/>
      <c r="O17" s="71"/>
      <c r="S17" s="182">
        <f>[2]!P200GiftedEducation</f>
        <v>0</v>
      </c>
      <c r="T17" s="17"/>
      <c r="U17" s="24" t="s">
        <v>429</v>
      </c>
    </row>
    <row r="18" spans="1:21" ht="12.75" customHeight="1">
      <c r="A18" s="47"/>
      <c r="B18" s="24" t="s">
        <v>508</v>
      </c>
      <c r="C18" s="10" t="s">
        <v>474</v>
      </c>
      <c r="D18" s="14"/>
      <c r="E18" s="228"/>
      <c r="K18" s="65" t="s">
        <v>430</v>
      </c>
      <c r="L18" s="3" t="s">
        <v>272</v>
      </c>
      <c r="S18" s="182">
        <f>[2]!P200ELLIncrementalCosts</f>
        <v>0</v>
      </c>
      <c r="T18" s="17"/>
      <c r="U18" s="24" t="s">
        <v>430</v>
      </c>
    </row>
    <row r="19" spans="1:21" ht="12.75" customHeight="1" thickBot="1">
      <c r="A19" s="47"/>
      <c r="B19" s="3" t="s">
        <v>396</v>
      </c>
      <c r="C19" s="10" t="s">
        <v>474</v>
      </c>
      <c r="D19" s="44">
        <f>SUM(D17:D18)</f>
        <v>0</v>
      </c>
      <c r="E19" s="494"/>
      <c r="K19" s="65" t="s">
        <v>431</v>
      </c>
      <c r="L19" s="3" t="s">
        <v>273</v>
      </c>
      <c r="S19" s="182">
        <f>[2]!P200ELLCompensatoryInstruction</f>
        <v>0</v>
      </c>
      <c r="T19" s="17"/>
      <c r="U19" s="24" t="s">
        <v>431</v>
      </c>
    </row>
    <row r="20" spans="11:21" ht="12.75" customHeight="1" thickTop="1">
      <c r="K20" s="65" t="s">
        <v>432</v>
      </c>
      <c r="L20" s="3" t="s">
        <v>389</v>
      </c>
      <c r="S20" s="182">
        <f>[2]!P200RemedialEducation</f>
        <v>0</v>
      </c>
      <c r="T20" s="17"/>
      <c r="U20" s="24" t="s">
        <v>432</v>
      </c>
    </row>
    <row r="21" spans="11:21" ht="12.75">
      <c r="K21" s="65" t="s">
        <v>433</v>
      </c>
      <c r="L21" s="3" t="s">
        <v>326</v>
      </c>
      <c r="S21" s="182">
        <f>[2]!P200VocationalandTechnologicalEd</f>
        <v>0</v>
      </c>
      <c r="T21" s="17"/>
      <c r="U21" s="24" t="s">
        <v>433</v>
      </c>
    </row>
    <row r="22" spans="11:21" ht="12" customHeight="1" thickBot="1">
      <c r="K22" s="65" t="s">
        <v>434</v>
      </c>
      <c r="L22" s="3" t="s">
        <v>390</v>
      </c>
      <c r="S22" s="254">
        <f>[2]!P200CareerEducation</f>
        <v>0</v>
      </c>
      <c r="T22" s="25"/>
      <c r="U22" s="24" t="s">
        <v>434</v>
      </c>
    </row>
    <row r="23" spans="11:21" ht="12.75" customHeight="1" thickBot="1">
      <c r="K23" s="65" t="s">
        <v>436</v>
      </c>
      <c r="L23" s="671" t="s">
        <v>87</v>
      </c>
      <c r="M23" s="671"/>
      <c r="N23" s="671"/>
      <c r="O23" s="671"/>
      <c r="P23" s="671"/>
      <c r="Q23" s="366"/>
      <c r="S23" s="69">
        <f>SUM(S16:S22)</f>
        <v>72257</v>
      </c>
      <c r="T23" s="19">
        <f>SUM(T16:T22)</f>
        <v>0</v>
      </c>
      <c r="U23" s="24" t="s">
        <v>436</v>
      </c>
    </row>
    <row r="24" spans="1:8" ht="12.75" customHeight="1" thickTop="1">
      <c r="A24" s="10"/>
      <c r="B24" s="568"/>
      <c r="C24" s="568"/>
      <c r="D24" s="568"/>
      <c r="E24" s="568"/>
      <c r="F24" s="568"/>
      <c r="G24" s="568"/>
      <c r="H24" s="568"/>
    </row>
    <row r="25" spans="1:8" ht="12.75" customHeight="1">
      <c r="A25" s="10"/>
      <c r="B25" s="568"/>
      <c r="C25" s="568"/>
      <c r="D25" s="568"/>
      <c r="E25" s="568"/>
      <c r="F25" s="568"/>
      <c r="G25" s="568"/>
      <c r="H25" s="568"/>
    </row>
    <row r="26" spans="1:24" ht="12.75" customHeight="1">
      <c r="A26" s="65"/>
      <c r="B26" s="568"/>
      <c r="C26" s="568"/>
      <c r="D26" s="568"/>
      <c r="E26" s="568"/>
      <c r="F26" s="568"/>
      <c r="G26" s="568"/>
      <c r="H26" s="568"/>
      <c r="I26" s="568"/>
      <c r="J26" s="568"/>
      <c r="K26" s="568"/>
      <c r="L26" s="568"/>
      <c r="W26" s="365"/>
      <c r="X26" s="365"/>
    </row>
    <row r="27" spans="2:13" ht="12.75" customHeight="1">
      <c r="B27" s="568"/>
      <c r="C27" s="568"/>
      <c r="D27" s="568"/>
      <c r="E27" s="568"/>
      <c r="F27" s="568"/>
      <c r="G27" s="568"/>
      <c r="H27" s="568"/>
      <c r="I27" s="568"/>
      <c r="J27" s="568"/>
      <c r="K27" s="568"/>
      <c r="L27" s="568"/>
      <c r="M27" s="568"/>
    </row>
    <row r="31" spans="2:3" ht="12.75" customHeight="1">
      <c r="B31" s="464"/>
      <c r="C31" s="464"/>
    </row>
  </sheetData>
  <sheetProtection sheet="1" formatCells="0" formatColumns="0" formatRows="0"/>
  <mergeCells count="26">
    <mergeCell ref="D1:G1"/>
    <mergeCell ref="L1:M1"/>
    <mergeCell ref="E11:E12"/>
    <mergeCell ref="F11:F12"/>
    <mergeCell ref="G11:G12"/>
    <mergeCell ref="H11:H12"/>
    <mergeCell ref="J11:J12"/>
    <mergeCell ref="K11:K12"/>
    <mergeCell ref="B26:L26"/>
    <mergeCell ref="B27:M27"/>
    <mergeCell ref="L11:L12"/>
    <mergeCell ref="B24:H24"/>
    <mergeCell ref="B25:H25"/>
    <mergeCell ref="L17:N17"/>
    <mergeCell ref="L23:P23"/>
    <mergeCell ref="A14:E14"/>
    <mergeCell ref="B15:E15"/>
    <mergeCell ref="L16:P16"/>
    <mergeCell ref="Q11:Q12"/>
    <mergeCell ref="R11:R12"/>
    <mergeCell ref="E6:R6"/>
    <mergeCell ref="M11:M12"/>
    <mergeCell ref="N11:N12"/>
    <mergeCell ref="O11:O12"/>
    <mergeCell ref="P11:P12"/>
    <mergeCell ref="I11:I12"/>
  </mergeCells>
  <hyperlinks>
    <hyperlink ref="K14:Q14" location="SpecialEdProgramsByType" display="D. SPECIAL EDUCATION PROGRAMS BY TYPE"/>
    <hyperlink ref="K17:N17" location="TotalActualGiftedExpenses" display="15."/>
    <hyperlink ref="K23:P23" location="Program_200_Budget_and_Program_200_Actual_column_totals_should_equal_line_27_on_page_2." display="22."/>
    <hyperlink ref="A14:E15" location="TotalActualGiftedExpenses" display="B. EXPENSES FOR GIFTED PUPILS "/>
    <hyperlink ref="L16:P16" location="AllDisabilityClassifications" display="Total All Disability Classifications"/>
  </hyperlinks>
  <printOptions horizontalCentered="1"/>
  <pageMargins left="1" right="0.25" top="0.5" bottom="0.25" header="0.5" footer="0.15"/>
  <pageSetup fitToHeight="1" fitToWidth="1" horizontalDpi="600" verticalDpi="600" orientation="landscape" paperSize="5"/>
  <headerFooter alignWithMargins="0">
    <oddFooter>&amp;LRev. 8/18&amp;CFY 2018&amp;RPage 8 of 10</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AFR</dc:title>
  <dc:subject/>
  <dc:creator>AZ Auditor General</dc:creator>
  <cp:keywords/>
  <dc:description/>
  <cp:lastModifiedBy>Julie Mitchell</cp:lastModifiedBy>
  <cp:lastPrinted>2018-08-15T19:29:05Z</cp:lastPrinted>
  <dcterms:created xsi:type="dcterms:W3CDTF">1997-10-10T20:56:13Z</dcterms:created>
  <dcterms:modified xsi:type="dcterms:W3CDTF">2019-02-20T22:44:47Z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11</vt:lpwstr>
  </property>
  <property fmtid="{D5CDD505-2E9C-101B-9397-08002B2CF9AE}" pid="4" name="SchoolBySchool">
    <vt:lpwstr>0</vt:lpwstr>
  </property>
  <property fmtid="{D5CDD505-2E9C-101B-9397-08002B2CF9AE}" pid="5" name="Password">
    <vt:lpwstr>DBacks123</vt:lpwstr>
  </property>
</Properties>
</file>